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3.xml" ContentType="application/vnd.openxmlformats-officedocument.drawingml.chart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omments5.xml" ContentType="application/vnd.openxmlformats-officedocument.spreadsheetml.comment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omments6.xml" ContentType="application/vnd.openxmlformats-officedocument.spreadsheetml.comments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drawings/drawing37.xml" ContentType="application/vnd.openxmlformats-officedocument.drawing+xml"/>
  <Override PartName="/xl/charts/chart71.xml" ContentType="application/vnd.openxmlformats-officedocument.drawingml.chart+xml"/>
  <Override PartName="/xl/drawings/drawing38.xml" ContentType="application/vnd.openxmlformats-officedocument.drawing+xml"/>
  <Override PartName="/xl/charts/chart72.xml" ContentType="application/vnd.openxmlformats-officedocument.drawingml.chart+xml"/>
  <Override PartName="/xl/drawings/drawing39.xml" ContentType="application/vnd.openxmlformats-officedocument.drawing+xml"/>
  <Override PartName="/xl/charts/chart73.xml" ContentType="application/vnd.openxmlformats-officedocument.drawingml.chart+xml"/>
  <Override PartName="/xl/drawings/drawing40.xml" ContentType="application/vnd.openxmlformats-officedocument.drawing+xml"/>
  <Override PartName="/xl/comments7.xml" ContentType="application/vnd.openxmlformats-officedocument.spreadsheetml.comments+xml"/>
  <Override PartName="/xl/charts/chart74.xml" ContentType="application/vnd.openxmlformats-officedocument.drawingml.chart+xml"/>
  <Override PartName="/xl/drawings/drawing41.xml" ContentType="application/vnd.openxmlformats-officedocument.drawing+xml"/>
  <Override PartName="/xl/charts/chart75.xml" ContentType="application/vnd.openxmlformats-officedocument.drawingml.chart+xml"/>
  <Override PartName="/xl/drawings/drawing42.xml" ContentType="application/vnd.openxmlformats-officedocument.drawing+xml"/>
  <Override PartName="/xl/charts/chart76.xml" ContentType="application/vnd.openxmlformats-officedocument.drawingml.chart+xml"/>
  <Override PartName="/xl/drawings/drawing43.xml" ContentType="application/vnd.openxmlformats-officedocument.drawing+xml"/>
  <Override PartName="/xl/charts/chart77.xml" ContentType="application/vnd.openxmlformats-officedocument.drawingml.chart+xml"/>
  <Override PartName="/xl/drawings/drawing44.xml" ContentType="application/vnd.openxmlformats-officedocument.drawing+xml"/>
  <Override PartName="/xl/charts/chart78.xml" ContentType="application/vnd.openxmlformats-officedocument.drawingml.chart+xml"/>
  <Override PartName="/xl/drawings/drawing45.xml" ContentType="application/vnd.openxmlformats-officedocument.drawing+xml"/>
  <Override PartName="/xl/charts/chart79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buckley\Edison Electric Institute\EEI Energy Supply &amp; Finance - Documents\General\Projects\FINREVS\2020 Quarterlies\2020 Q1\Credit Ratings\"/>
    </mc:Choice>
  </mc:AlternateContent>
  <xr:revisionPtr revIDLastSave="3" documentId="11_894EBA4D8589996709BD248EC5D4309F7EB86173" xr6:coauthVersionLast="44" xr6:coauthVersionMax="44" xr10:uidLastSave="{47880B7D-8CEE-4D31-97E7-B7673513B7B0}"/>
  <bookViews>
    <workbookView xWindow="-108" yWindow="-108" windowWidth="23256" windowHeight="12576" tabRatio="873" activeTab="5" xr2:uid="{00000000-000D-0000-FFFF-FFFF00000000}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0Q1" sheetId="81" r:id="rId6"/>
    <sheet name="Credit_2019Q4" sheetId="80" r:id="rId7"/>
    <sheet name="Credit_2019Q3" sheetId="79" r:id="rId8"/>
    <sheet name="Credit_2019Q2" sheetId="76" r:id="rId9"/>
    <sheet name="Credit_2019Q1" sheetId="78" r:id="rId10"/>
    <sheet name="Credit_2018Q4" sheetId="75" r:id="rId11"/>
    <sheet name="Credit_2018Q3" sheetId="74" r:id="rId12"/>
    <sheet name="Credit_2018Q2" sheetId="73" r:id="rId13"/>
    <sheet name="Credit_2018Q1" sheetId="71" r:id="rId14"/>
    <sheet name="Credit_2017Q4" sheetId="70" r:id="rId15"/>
    <sheet name="Credit_2017Q3" sheetId="69" r:id="rId16"/>
    <sheet name="Credit_2017Q2" sheetId="68" r:id="rId17"/>
    <sheet name="Credit_2017Q1" sheetId="66" r:id="rId18"/>
    <sheet name="Credit_2016Q4" sheetId="65" r:id="rId19"/>
    <sheet name="Credit_2016Q3" sheetId="64" r:id="rId20"/>
    <sheet name="Credit_2016Q2" sheetId="63" r:id="rId21"/>
    <sheet name="Credit_2016Q1" sheetId="61" r:id="rId22"/>
    <sheet name="Credit_2015Q4" sheetId="60" r:id="rId23"/>
    <sheet name="Credit_2015Q3" sheetId="58" r:id="rId24"/>
    <sheet name="Credit_2015Q2" sheetId="57" r:id="rId25"/>
    <sheet name="Credit_2015Q1" sheetId="56" r:id="rId26"/>
    <sheet name="Credit_2014Q4" sheetId="55" r:id="rId27"/>
    <sheet name="Credit_2014Q3" sheetId="54" r:id="rId28"/>
    <sheet name="Credit_2014Q2" sheetId="52" r:id="rId29"/>
    <sheet name="Credit_2014Q1" sheetId="51" r:id="rId30"/>
    <sheet name="Credit_2013Q4" sheetId="50" r:id="rId31"/>
    <sheet name="Credit_2013Q3" sheetId="49" r:id="rId32"/>
    <sheet name="Credit_2013Q2" sheetId="43" r:id="rId33"/>
    <sheet name="Credit_2013Q1" sheetId="40" r:id="rId34"/>
    <sheet name="Credit_2012Q4" sheetId="34" r:id="rId35"/>
    <sheet name="Credit_2012Q3" sheetId="45" r:id="rId36"/>
    <sheet name="Credit_2012Q2" sheetId="46" r:id="rId37"/>
    <sheet name="Credit_2012Q1" sheetId="47" r:id="rId38"/>
    <sheet name="Credit_2011Q4" sheetId="28" r:id="rId39"/>
    <sheet name="Credit_2011Q3" sheetId="27" r:id="rId40"/>
    <sheet name="Credit_2011Q2" sheetId="26" r:id="rId41"/>
    <sheet name="Credit_2011Q1" sheetId="25" r:id="rId42"/>
    <sheet name="Credit_2010Q4" sheetId="24" r:id="rId43"/>
    <sheet name="Credit_2009Q4" sheetId="20" r:id="rId44"/>
    <sheet name="Credit_2008Q4" sheetId="16" r:id="rId45"/>
    <sheet name="Credit_2007Q4" sheetId="17" r:id="rId46"/>
    <sheet name="Credit_2006Q4" sheetId="11" r:id="rId47"/>
    <sheet name="Credit_2001Q4" sheetId="8" r:id="rId48"/>
    <sheet name="Reg_Percent_2019" sheetId="82" r:id="rId49"/>
    <sheet name="Reg_Percent_2018" sheetId="77" r:id="rId50"/>
    <sheet name="Reg_Percent_2017" sheetId="72" r:id="rId51"/>
    <sheet name="Reg_Percent_2016" sheetId="67" r:id="rId52"/>
    <sheet name="Reg_Percent_2015" sheetId="62" r:id="rId53"/>
    <sheet name="Reg_Percent_2014" sheetId="59" r:id="rId54"/>
    <sheet name="Reg_Percent_2013" sheetId="53" r:id="rId55"/>
    <sheet name="Reg_Percent_2012" sheetId="44" r:id="rId56"/>
    <sheet name="Reg_Percent_2011" sheetId="38" r:id="rId57"/>
    <sheet name="Reg_Percent_2010" sheetId="48" r:id="rId58"/>
    <sheet name="Scale" sheetId="41" r:id="rId59"/>
  </sheets>
  <externalReferences>
    <externalReference r:id="rId60"/>
    <externalReference r:id="rId61"/>
    <externalReference r:id="rId62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CA31" i="7" l="1"/>
  <c r="CA21" i="7"/>
  <c r="CA11" i="7"/>
  <c r="CA7" i="7"/>
  <c r="CC7" i="7"/>
  <c r="CC11" i="7"/>
  <c r="CC21" i="7"/>
  <c r="CC31" i="7"/>
  <c r="BG11" i="7"/>
  <c r="BD11" i="7"/>
  <c r="BD7" i="7"/>
  <c r="BG7" i="7"/>
  <c r="V12" i="10" l="1"/>
  <c r="V11" i="10"/>
  <c r="V14" i="10" s="1"/>
  <c r="V16" i="10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A58" i="5" s="1"/>
  <c r="CB56" i="5"/>
  <c r="CC56" i="5"/>
  <c r="CC58" i="5" s="1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V13" i="9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V12" i="9" s="1"/>
  <c r="BZ43" i="5"/>
  <c r="CA43" i="5"/>
  <c r="CB43" i="5"/>
  <c r="CC43" i="5"/>
  <c r="BZ42" i="5"/>
  <c r="BZ50" i="5" s="1"/>
  <c r="CA42" i="5"/>
  <c r="CA50" i="5" s="1"/>
  <c r="CB42" i="5"/>
  <c r="CB50" i="5" s="1"/>
  <c r="CC42" i="5"/>
  <c r="CC50" i="5" s="1"/>
  <c r="V11" i="9" s="1"/>
  <c r="V13" i="10" l="1"/>
  <c r="CB58" i="5"/>
  <c r="CC53" i="5"/>
  <c r="V14" i="9" s="1"/>
  <c r="BZ57" i="5" l="1"/>
  <c r="CC62" i="5" s="1"/>
  <c r="BZ56" i="5"/>
  <c r="CC61" i="5" s="1"/>
  <c r="CC63" i="5" s="1"/>
  <c r="BZ58" i="5" l="1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AW11" i="81" s="1"/>
  <c r="AX11" i="81" s="1"/>
  <c r="L11" i="81"/>
  <c r="AV10" i="81"/>
  <c r="L10" i="81"/>
  <c r="AV9" i="81"/>
  <c r="AW20" i="81" s="1"/>
  <c r="AX20" i="81" s="1"/>
  <c r="L9" i="81"/>
  <c r="AV8" i="81"/>
  <c r="AW8" i="81" s="1"/>
  <c r="AX8" i="81" s="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G7" i="81"/>
  <c r="E6" i="81"/>
  <c r="G18" i="81"/>
  <c r="AJ12" i="81"/>
  <c r="AJ30" i="81"/>
  <c r="G39" i="81"/>
  <c r="L14" i="81" l="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X35" i="81"/>
  <c r="AW35" i="8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G21" i="81"/>
  <c r="AJ57" i="81"/>
  <c r="AJ29" i="81"/>
  <c r="AJ10" i="81"/>
  <c r="G43" i="81"/>
  <c r="G14" i="81"/>
  <c r="AJ8" i="81"/>
  <c r="G23" i="81"/>
  <c r="AJ55" i="81"/>
  <c r="AJ44" i="81"/>
  <c r="AJ9" i="81"/>
  <c r="G47" i="81"/>
  <c r="G24" i="81"/>
  <c r="G25" i="81"/>
  <c r="G38" i="81"/>
  <c r="G17" i="81"/>
  <c r="AJ65" i="81"/>
  <c r="AJ53" i="81"/>
  <c r="AJ24" i="81"/>
  <c r="AJ42" i="81"/>
  <c r="G46" i="81"/>
  <c r="AJ51" i="81"/>
  <c r="AJ48" i="81"/>
  <c r="AJ21" i="81"/>
  <c r="G50" i="81"/>
  <c r="G34" i="81"/>
  <c r="G15" i="81"/>
  <c r="E39" i="81"/>
  <c r="G27" i="81"/>
  <c r="AJ62" i="81"/>
  <c r="AJ26" i="81"/>
  <c r="G9" i="81"/>
  <c r="G12" i="81"/>
  <c r="AJ28" i="81"/>
  <c r="AJ13" i="81"/>
  <c r="AJ20" i="81"/>
  <c r="G32" i="81"/>
  <c r="G31" i="81"/>
  <c r="G42" i="81"/>
  <c r="G37" i="81"/>
  <c r="AJ67" i="81"/>
  <c r="AJ11" i="81"/>
  <c r="AJ52" i="81"/>
  <c r="AJ35" i="81"/>
  <c r="G33" i="81"/>
  <c r="AJ58" i="81"/>
  <c r="AJ64" i="81"/>
  <c r="AJ16" i="81"/>
  <c r="AJ27" i="81"/>
  <c r="G28" i="81"/>
  <c r="G10" i="81"/>
  <c r="G26" i="81"/>
  <c r="AJ56" i="81"/>
  <c r="AJ61" i="81"/>
  <c r="AJ46" i="81"/>
  <c r="AJ25" i="81"/>
  <c r="G40" i="81"/>
  <c r="G13" i="81"/>
  <c r="AJ31" i="81"/>
  <c r="G20" i="81"/>
  <c r="G22" i="81"/>
  <c r="AJ54" i="81"/>
  <c r="AJ47" i="81"/>
  <c r="AJ39" i="81"/>
  <c r="AJ22" i="81"/>
  <c r="E7" i="81"/>
  <c r="AJ60" i="81"/>
  <c r="AJ33" i="81"/>
  <c r="AJ7" i="81"/>
  <c r="G44" i="81"/>
  <c r="G16" i="81"/>
  <c r="G35" i="81"/>
  <c r="AJ66" i="81"/>
  <c r="AJ36" i="81"/>
  <c r="AJ34" i="81"/>
  <c r="AJ17" i="81"/>
  <c r="G29" i="81"/>
  <c r="AL12" i="81"/>
  <c r="AJ32" i="81"/>
  <c r="AJ15" i="81"/>
  <c r="G41" i="81"/>
  <c r="G36" i="81"/>
  <c r="AK12" i="81"/>
  <c r="AJ59" i="81"/>
  <c r="AJ23" i="81"/>
  <c r="AJ63" i="81"/>
  <c r="AJ50" i="81"/>
  <c r="AJ38" i="81"/>
  <c r="G11" i="81"/>
  <c r="E6" i="80"/>
  <c r="AL30" i="81"/>
  <c r="AJ49" i="81"/>
  <c r="AJ43" i="81"/>
  <c r="AJ18" i="81"/>
  <c r="G61" i="81"/>
  <c r="G30" i="81"/>
  <c r="AK30" i="81"/>
  <c r="AJ45" i="81"/>
  <c r="AJ41" i="81"/>
  <c r="AJ14" i="81"/>
  <c r="G49" i="81"/>
  <c r="G19" i="81"/>
  <c r="G8" i="81"/>
  <c r="E18" i="81"/>
  <c r="AJ37" i="81"/>
  <c r="G45" i="81"/>
  <c r="AJ40" i="81"/>
  <c r="AJ19" i="81"/>
  <c r="G48" i="81"/>
  <c r="M14" i="81" l="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X10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X37" i="80"/>
  <c r="AW37" i="80"/>
  <c r="AW41" i="80"/>
  <c r="AX41" i="80" s="1"/>
  <c r="AX30" i="80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K4" i="79"/>
  <c r="AK2" i="79" s="1"/>
  <c r="AJ4" i="79"/>
  <c r="AJ2" i="79" s="1"/>
  <c r="G3" i="79"/>
  <c r="AL2" i="79"/>
  <c r="E2" i="79"/>
  <c r="E3" i="79" s="1"/>
  <c r="A1" i="79"/>
  <c r="E44" i="81"/>
  <c r="AL48" i="81"/>
  <c r="AK11" i="81"/>
  <c r="E22" i="81"/>
  <c r="E41" i="81"/>
  <c r="AK44" i="81"/>
  <c r="E27" i="81"/>
  <c r="AL34" i="81"/>
  <c r="E33" i="81"/>
  <c r="AL7" i="81"/>
  <c r="AL49" i="81"/>
  <c r="AK38" i="81"/>
  <c r="AK50" i="81"/>
  <c r="AL24" i="81"/>
  <c r="AK31" i="81"/>
  <c r="AK9" i="81"/>
  <c r="AL8" i="81"/>
  <c r="AL10" i="81"/>
  <c r="E48" i="81"/>
  <c r="AK33" i="81"/>
  <c r="AK46" i="81"/>
  <c r="AL18" i="81"/>
  <c r="AK35" i="81"/>
  <c r="AL11" i="81"/>
  <c r="E12" i="81"/>
  <c r="E49" i="81"/>
  <c r="AL41" i="81"/>
  <c r="E30" i="81"/>
  <c r="AK13" i="81"/>
  <c r="AK28" i="81"/>
  <c r="AL14" i="81"/>
  <c r="AL16" i="81"/>
  <c r="AJ27" i="80"/>
  <c r="AJ33" i="80"/>
  <c r="G22" i="80"/>
  <c r="G40" i="80"/>
  <c r="G46" i="80"/>
  <c r="AJ52" i="80"/>
  <c r="AJ55" i="80"/>
  <c r="AJ58" i="80"/>
  <c r="G11" i="80"/>
  <c r="AJ19" i="80"/>
  <c r="AJ62" i="80"/>
  <c r="AJ15" i="80"/>
  <c r="AJ36" i="80"/>
  <c r="AJ26" i="80"/>
  <c r="AJ16" i="80"/>
  <c r="AJ57" i="80"/>
  <c r="AJ67" i="80"/>
  <c r="AJ53" i="80"/>
  <c r="AJ47" i="80"/>
  <c r="G12" i="80"/>
  <c r="AJ38" i="80"/>
  <c r="G13" i="80"/>
  <c r="G45" i="80"/>
  <c r="AJ56" i="80"/>
  <c r="G48" i="80"/>
  <c r="AJ60" i="80"/>
  <c r="AJ31" i="80"/>
  <c r="AL50" i="81"/>
  <c r="AL15" i="81"/>
  <c r="AK32" i="81"/>
  <c r="AK29" i="81"/>
  <c r="E24" i="81"/>
  <c r="E15" i="81"/>
  <c r="AL13" i="81"/>
  <c r="E13" i="81"/>
  <c r="E10" i="81"/>
  <c r="AL19" i="81"/>
  <c r="AL45" i="81"/>
  <c r="AK40" i="81"/>
  <c r="E36" i="81"/>
  <c r="AL25" i="81"/>
  <c r="AK61" i="81"/>
  <c r="AK27" i="81"/>
  <c r="AK42" i="81"/>
  <c r="E37" i="81"/>
  <c r="AK41" i="81"/>
  <c r="E32" i="81"/>
  <c r="AJ50" i="80"/>
  <c r="AJ49" i="80"/>
  <c r="AJ35" i="80"/>
  <c r="AJ12" i="80"/>
  <c r="AJ48" i="80"/>
  <c r="AJ11" i="80"/>
  <c r="AJ61" i="80"/>
  <c r="AJ13" i="80"/>
  <c r="AJ44" i="80"/>
  <c r="AJ43" i="80"/>
  <c r="G44" i="80"/>
  <c r="G25" i="80"/>
  <c r="G39" i="80"/>
  <c r="G43" i="80"/>
  <c r="AJ37" i="80"/>
  <c r="G29" i="80"/>
  <c r="G15" i="80"/>
  <c r="G28" i="80"/>
  <c r="G41" i="80"/>
  <c r="G34" i="80"/>
  <c r="AJ30" i="80"/>
  <c r="AJ8" i="80"/>
  <c r="G26" i="80"/>
  <c r="AJ9" i="80"/>
  <c r="G49" i="80"/>
  <c r="G33" i="80"/>
  <c r="AJ23" i="80"/>
  <c r="E35" i="81"/>
  <c r="AK21" i="81"/>
  <c r="E45" i="81"/>
  <c r="AL37" i="81"/>
  <c r="AL31" i="81"/>
  <c r="AL9" i="81"/>
  <c r="E23" i="81"/>
  <c r="AK17" i="81"/>
  <c r="AL36" i="81"/>
  <c r="AL61" i="81"/>
  <c r="E61" i="81"/>
  <c r="E34" i="81"/>
  <c r="AK20" i="81"/>
  <c r="AL42" i="81"/>
  <c r="E17" i="81"/>
  <c r="E40" i="81"/>
  <c r="AL44" i="81"/>
  <c r="E28" i="81"/>
  <c r="AL29" i="81"/>
  <c r="AK7" i="81"/>
  <c r="E8" i="81"/>
  <c r="AL38" i="81"/>
  <c r="AK39" i="81"/>
  <c r="E20" i="81"/>
  <c r="E29" i="81"/>
  <c r="AL33" i="81"/>
  <c r="AL21" i="81"/>
  <c r="AL28" i="81"/>
  <c r="AK26" i="81"/>
  <c r="AK34" i="81"/>
  <c r="AL40" i="81"/>
  <c r="AL43" i="81"/>
  <c r="AL39" i="81"/>
  <c r="AL20" i="81"/>
  <c r="AL26" i="81"/>
  <c r="AK19" i="81"/>
  <c r="AL23" i="81"/>
  <c r="AL17" i="81"/>
  <c r="AK8" i="81"/>
  <c r="E46" i="81"/>
  <c r="E19" i="81"/>
  <c r="AK45" i="81"/>
  <c r="AK23" i="81"/>
  <c r="E14" i="81"/>
  <c r="G17" i="80"/>
  <c r="AJ22" i="80"/>
  <c r="AJ10" i="80"/>
  <c r="G23" i="80"/>
  <c r="AJ66" i="80"/>
  <c r="AJ42" i="80"/>
  <c r="AJ28" i="80"/>
  <c r="AJ45" i="80"/>
  <c r="G10" i="80"/>
  <c r="G31" i="80"/>
  <c r="G37" i="80"/>
  <c r="AJ54" i="80"/>
  <c r="AJ65" i="80"/>
  <c r="AK47" i="81"/>
  <c r="E50" i="81"/>
  <c r="AK49" i="81"/>
  <c r="AK14" i="81"/>
  <c r="E25" i="81"/>
  <c r="AJ39" i="80"/>
  <c r="AJ18" i="80"/>
  <c r="AJ41" i="80"/>
  <c r="G18" i="80"/>
  <c r="G8" i="80"/>
  <c r="G7" i="80"/>
  <c r="AJ46" i="80"/>
  <c r="AJ24" i="80"/>
  <c r="E16" i="81"/>
  <c r="E9" i="81"/>
  <c r="E21" i="81"/>
  <c r="AK48" i="81"/>
  <c r="AL32" i="81"/>
  <c r="E47" i="81"/>
  <c r="E11" i="81"/>
  <c r="AL47" i="81"/>
  <c r="AL46" i="81"/>
  <c r="AK16" i="81"/>
  <c r="AK25" i="81"/>
  <c r="AJ13" i="79"/>
  <c r="G14" i="80"/>
  <c r="G21" i="80"/>
  <c r="AJ14" i="80"/>
  <c r="AJ59" i="80"/>
  <c r="AJ32" i="80"/>
  <c r="AJ17" i="80"/>
  <c r="G47" i="80"/>
  <c r="AK22" i="81"/>
  <c r="E26" i="81"/>
  <c r="AK43" i="81"/>
  <c r="E38" i="81"/>
  <c r="AK36" i="81"/>
  <c r="E43" i="81"/>
  <c r="AL22" i="81"/>
  <c r="E42" i="81"/>
  <c r="E31" i="81"/>
  <c r="AK24" i="81"/>
  <c r="AL27" i="81"/>
  <c r="G38" i="80"/>
  <c r="G36" i="80"/>
  <c r="AJ64" i="80"/>
  <c r="AJ25" i="80"/>
  <c r="G30" i="80"/>
  <c r="G32" i="80"/>
  <c r="AJ21" i="80"/>
  <c r="G24" i="80"/>
  <c r="AJ20" i="80"/>
  <c r="G16" i="80"/>
  <c r="AJ29" i="80"/>
  <c r="G20" i="80"/>
  <c r="G27" i="80"/>
  <c r="AK10" i="81"/>
  <c r="AK15" i="81"/>
  <c r="AL35" i="81"/>
  <c r="AK37" i="81"/>
  <c r="AK18" i="81"/>
  <c r="G42" i="80"/>
  <c r="AJ51" i="80"/>
  <c r="G50" i="80"/>
  <c r="G61" i="80"/>
  <c r="AJ63" i="80"/>
  <c r="E6" i="79"/>
  <c r="G9" i="80"/>
  <c r="G19" i="80"/>
  <c r="AJ40" i="80"/>
  <c r="AJ7" i="80"/>
  <c r="G35" i="80"/>
  <c r="AJ34" i="80"/>
  <c r="BD7" i="81" l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BI7" i="81"/>
  <c r="BH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F61" i="78"/>
  <c r="AV60" i="78"/>
  <c r="AH60" i="78"/>
  <c r="AG60" i="78"/>
  <c r="AF60" i="78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W7" i="78"/>
  <c r="AX7" i="78" s="1"/>
  <c r="AV7" i="78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E3" i="78"/>
  <c r="AJ2" i="78"/>
  <c r="E2" i="78"/>
  <c r="A1" i="78"/>
  <c r="G39" i="79"/>
  <c r="E47" i="80"/>
  <c r="AJ10" i="79"/>
  <c r="AJ44" i="79"/>
  <c r="AJ56" i="79"/>
  <c r="AJ26" i="79"/>
  <c r="G41" i="79"/>
  <c r="E23" i="80"/>
  <c r="AL35" i="80"/>
  <c r="AK46" i="80"/>
  <c r="AK33" i="80"/>
  <c r="E29" i="80"/>
  <c r="E17" i="80"/>
  <c r="AJ50" i="79"/>
  <c r="AK47" i="80"/>
  <c r="AJ64" i="79"/>
  <c r="G49" i="79"/>
  <c r="E22" i="80"/>
  <c r="AL47" i="80"/>
  <c r="G40" i="79"/>
  <c r="AJ47" i="79"/>
  <c r="G43" i="79"/>
  <c r="AJ8" i="79"/>
  <c r="AK49" i="80"/>
  <c r="AJ45" i="79"/>
  <c r="AJ38" i="79"/>
  <c r="AJ65" i="79"/>
  <c r="AJ62" i="79"/>
  <c r="G19" i="79"/>
  <c r="AL8" i="80"/>
  <c r="AL48" i="80"/>
  <c r="AJ18" i="79"/>
  <c r="AK15" i="80"/>
  <c r="E40" i="80"/>
  <c r="AJ49" i="79"/>
  <c r="AJ51" i="79"/>
  <c r="AK11" i="80"/>
  <c r="AK18" i="80"/>
  <c r="AK14" i="80"/>
  <c r="G44" i="79"/>
  <c r="G10" i="79"/>
  <c r="AL13" i="79"/>
  <c r="AJ59" i="79"/>
  <c r="AJ48" i="79"/>
  <c r="G13" i="79"/>
  <c r="AL18" i="80"/>
  <c r="AJ14" i="79"/>
  <c r="AL16" i="80"/>
  <c r="AJ61" i="79"/>
  <c r="AL20" i="80"/>
  <c r="AL23" i="80"/>
  <c r="AL27" i="80"/>
  <c r="AL44" i="80"/>
  <c r="G32" i="79"/>
  <c r="G18" i="79"/>
  <c r="G28" i="79"/>
  <c r="AL61" i="80"/>
  <c r="G14" i="79"/>
  <c r="AJ39" i="79"/>
  <c r="G34" i="79"/>
  <c r="G25" i="79"/>
  <c r="AL10" i="80"/>
  <c r="AK9" i="80"/>
  <c r="AJ35" i="79"/>
  <c r="G61" i="79"/>
  <c r="G24" i="79"/>
  <c r="E15" i="80"/>
  <c r="AJ28" i="79"/>
  <c r="E28" i="80"/>
  <c r="E8" i="80"/>
  <c r="G8" i="79"/>
  <c r="AL21" i="80"/>
  <c r="G9" i="79"/>
  <c r="AK27" i="80"/>
  <c r="AK8" i="80"/>
  <c r="G12" i="79"/>
  <c r="G26" i="79"/>
  <c r="AL22" i="80"/>
  <c r="E49" i="80"/>
  <c r="AJ40" i="79"/>
  <c r="AJ24" i="79"/>
  <c r="G48" i="79"/>
  <c r="E21" i="80"/>
  <c r="AK13" i="79"/>
  <c r="AJ67" i="79"/>
  <c r="AJ21" i="79"/>
  <c r="AL30" i="80"/>
  <c r="AJ32" i="79"/>
  <c r="AK22" i="80"/>
  <c r="AJ57" i="79"/>
  <c r="AL17" i="80"/>
  <c r="AJ20" i="79"/>
  <c r="E37" i="80"/>
  <c r="AJ36" i="79"/>
  <c r="AL13" i="80"/>
  <c r="AL33" i="80"/>
  <c r="E45" i="80"/>
  <c r="AL49" i="80"/>
  <c r="AK30" i="80"/>
  <c r="AJ23" i="79"/>
  <c r="G47" i="79"/>
  <c r="G21" i="79"/>
  <c r="AJ31" i="79"/>
  <c r="E36" i="80"/>
  <c r="E16" i="80"/>
  <c r="G22" i="79"/>
  <c r="AK26" i="80"/>
  <c r="G31" i="79"/>
  <c r="G38" i="79"/>
  <c r="G35" i="79"/>
  <c r="G23" i="79"/>
  <c r="AK42" i="80"/>
  <c r="E10" i="80"/>
  <c r="E13" i="80"/>
  <c r="AJ25" i="79"/>
  <c r="E33" i="80"/>
  <c r="AK13" i="80"/>
  <c r="AL37" i="80"/>
  <c r="AK41" i="80"/>
  <c r="AL29" i="80"/>
  <c r="AJ37" i="79"/>
  <c r="E18" i="80"/>
  <c r="AK43" i="80"/>
  <c r="E12" i="80"/>
  <c r="E11" i="80"/>
  <c r="AL11" i="80"/>
  <c r="AK21" i="80"/>
  <c r="AL50" i="80"/>
  <c r="AK32" i="80"/>
  <c r="AK48" i="80"/>
  <c r="G37" i="79"/>
  <c r="AJ33" i="79"/>
  <c r="E42" i="80"/>
  <c r="E14" i="80"/>
  <c r="AJ41" i="79"/>
  <c r="AJ9" i="79"/>
  <c r="E44" i="80"/>
  <c r="AK44" i="80"/>
  <c r="G50" i="79"/>
  <c r="G33" i="79"/>
  <c r="AK40" i="80"/>
  <c r="AJ11" i="79"/>
  <c r="E34" i="80"/>
  <c r="AK16" i="80"/>
  <c r="E19" i="80"/>
  <c r="AJ17" i="79"/>
  <c r="AJ60" i="79"/>
  <c r="AL38" i="80"/>
  <c r="AK25" i="80"/>
  <c r="E39" i="80"/>
  <c r="AL28" i="80"/>
  <c r="AJ55" i="79"/>
  <c r="AJ66" i="79"/>
  <c r="G17" i="79"/>
  <c r="G36" i="79"/>
  <c r="AJ63" i="79"/>
  <c r="AL41" i="80"/>
  <c r="AL25" i="80"/>
  <c r="AK19" i="80"/>
  <c r="AJ7" i="78"/>
  <c r="AK38" i="80"/>
  <c r="G20" i="79"/>
  <c r="AL12" i="80"/>
  <c r="AJ34" i="79"/>
  <c r="E35" i="80"/>
  <c r="G7" i="79"/>
  <c r="AL39" i="80"/>
  <c r="AJ42" i="79"/>
  <c r="AL45" i="80"/>
  <c r="AJ52" i="79"/>
  <c r="AJ7" i="79"/>
  <c r="E7" i="80"/>
  <c r="AJ19" i="79"/>
  <c r="AJ58" i="79"/>
  <c r="AL24" i="80"/>
  <c r="AK12" i="80"/>
  <c r="G30" i="79"/>
  <c r="G46" i="79"/>
  <c r="AK61" i="80"/>
  <c r="E46" i="80"/>
  <c r="E27" i="80"/>
  <c r="AL36" i="80"/>
  <c r="AL7" i="80"/>
  <c r="E50" i="80"/>
  <c r="AJ29" i="79"/>
  <c r="AK35" i="80"/>
  <c r="E61" i="80"/>
  <c r="AK50" i="80"/>
  <c r="AJ12" i="79"/>
  <c r="G16" i="79"/>
  <c r="AL43" i="80"/>
  <c r="AK31" i="80"/>
  <c r="E41" i="80"/>
  <c r="AJ54" i="79"/>
  <c r="G15" i="79"/>
  <c r="AL32" i="80"/>
  <c r="AJ16" i="79"/>
  <c r="AK39" i="80"/>
  <c r="AK10" i="80"/>
  <c r="AJ22" i="79"/>
  <c r="AJ30" i="79"/>
  <c r="AJ27" i="79"/>
  <c r="AL34" i="80"/>
  <c r="AJ15" i="79"/>
  <c r="E32" i="80"/>
  <c r="AL40" i="80"/>
  <c r="E48" i="80"/>
  <c r="AL14" i="80"/>
  <c r="AK34" i="80"/>
  <c r="E30" i="80"/>
  <c r="G45" i="79"/>
  <c r="AK24" i="80"/>
  <c r="E25" i="80"/>
  <c r="AK36" i="80"/>
  <c r="E6" i="78"/>
  <c r="AL19" i="80"/>
  <c r="AK37" i="80"/>
  <c r="AK20" i="80"/>
  <c r="AL15" i="80"/>
  <c r="E20" i="80"/>
  <c r="E9" i="80"/>
  <c r="G27" i="79"/>
  <c r="AL26" i="80"/>
  <c r="AK23" i="80"/>
  <c r="G29" i="79"/>
  <c r="E26" i="80"/>
  <c r="AL31" i="80"/>
  <c r="E24" i="80"/>
  <c r="AK29" i="80"/>
  <c r="AK7" i="80"/>
  <c r="AJ43" i="79"/>
  <c r="AK17" i="80"/>
  <c r="E38" i="80"/>
  <c r="AL46" i="80"/>
  <c r="AL42" i="80"/>
  <c r="G11" i="79"/>
  <c r="AJ53" i="79"/>
  <c r="AJ46" i="79"/>
  <c r="E31" i="80"/>
  <c r="G42" i="79"/>
  <c r="E43" i="80"/>
  <c r="AK28" i="80"/>
  <c r="AL9" i="80"/>
  <c r="AK45" i="80"/>
  <c r="AA12" i="81" l="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AM44" i="80"/>
  <c r="AG37" i="80"/>
  <c r="AH37" i="80"/>
  <c r="AH38" i="80"/>
  <c r="AG38" i="80"/>
  <c r="AM41" i="80"/>
  <c r="AH16" i="80"/>
  <c r="AG16" i="80"/>
  <c r="AM61" i="80"/>
  <c r="AM21" i="80"/>
  <c r="AM27" i="80"/>
  <c r="AH12" i="80"/>
  <c r="AG12" i="80"/>
  <c r="AM31" i="80"/>
  <c r="AM29" i="80"/>
  <c r="AG18" i="80"/>
  <c r="AH18" i="80"/>
  <c r="AH28" i="80"/>
  <c r="AG28" i="80"/>
  <c r="AH10" i="80"/>
  <c r="AG10" i="80"/>
  <c r="AH14" i="80"/>
  <c r="AG14" i="80"/>
  <c r="AM24" i="80"/>
  <c r="AH13" i="80"/>
  <c r="AG13" i="80"/>
  <c r="AG36" i="80"/>
  <c r="AH36" i="80"/>
  <c r="AH25" i="80"/>
  <c r="AG25" i="80"/>
  <c r="AG41" i="80"/>
  <c r="AH41" i="80"/>
  <c r="AH34" i="80"/>
  <c r="AG34" i="80"/>
  <c r="AM30" i="80"/>
  <c r="AM49" i="80"/>
  <c r="AH61" i="80"/>
  <c r="AG61" i="80"/>
  <c r="AM32" i="80"/>
  <c r="AH21" i="80"/>
  <c r="AG21" i="80"/>
  <c r="AH27" i="80"/>
  <c r="AG27" i="80"/>
  <c r="AM9" i="80"/>
  <c r="AM50" i="80"/>
  <c r="AM12" i="80"/>
  <c r="AH31" i="80"/>
  <c r="AG31" i="80"/>
  <c r="AG29" i="80"/>
  <c r="AH29" i="80"/>
  <c r="AM18" i="80"/>
  <c r="AM28" i="80"/>
  <c r="AM10" i="80"/>
  <c r="AM11" i="80"/>
  <c r="AH24" i="80"/>
  <c r="AG24" i="80"/>
  <c r="AM13" i="80"/>
  <c r="AG26" i="80"/>
  <c r="AH26" i="80"/>
  <c r="AM34" i="80"/>
  <c r="AM36" i="80"/>
  <c r="AM25" i="80"/>
  <c r="U16" i="80" a="1"/>
  <c r="U16" i="80" s="1"/>
  <c r="R16" i="80" a="1"/>
  <c r="R16" i="80" s="1"/>
  <c r="R13" i="80"/>
  <c r="S13" i="80" s="1"/>
  <c r="R11" i="80"/>
  <c r="S11" i="80" s="1"/>
  <c r="R10" i="80"/>
  <c r="R9" i="80"/>
  <c r="R8" i="80"/>
  <c r="R12" i="80"/>
  <c r="O16" i="80" a="1"/>
  <c r="O16" i="80" s="1"/>
  <c r="U13" i="80"/>
  <c r="V13" i="80" s="1"/>
  <c r="O13" i="80"/>
  <c r="U12" i="80"/>
  <c r="V12" i="80" s="1"/>
  <c r="O12" i="80"/>
  <c r="U11" i="80"/>
  <c r="V11" i="80" s="1"/>
  <c r="O11" i="80"/>
  <c r="U10" i="80"/>
  <c r="V10" i="80" s="1"/>
  <c r="O10" i="80"/>
  <c r="U9" i="80"/>
  <c r="V9" i="80" s="1"/>
  <c r="O9" i="80"/>
  <c r="U8" i="80"/>
  <c r="O8" i="80"/>
  <c r="AM43" i="80"/>
  <c r="AH30" i="80"/>
  <c r="AG30" i="80"/>
  <c r="AM35" i="80"/>
  <c r="AM33" i="80"/>
  <c r="AG22" i="80"/>
  <c r="AH22" i="80"/>
  <c r="AH7" i="80"/>
  <c r="AG7" i="80"/>
  <c r="AM19" i="80"/>
  <c r="AG50" i="80"/>
  <c r="AH50" i="80"/>
  <c r="AM42" i="80"/>
  <c r="AG45" i="80"/>
  <c r="AH45" i="80"/>
  <c r="AM47" i="80"/>
  <c r="AM46" i="80"/>
  <c r="AM17" i="80"/>
  <c r="AM20" i="80"/>
  <c r="AM23" i="80"/>
  <c r="AH48" i="80"/>
  <c r="AG48" i="80"/>
  <c r="AG40" i="80"/>
  <c r="AH40" i="80"/>
  <c r="AH8" i="80"/>
  <c r="AG8" i="80"/>
  <c r="AH15" i="80"/>
  <c r="AG15" i="80"/>
  <c r="AH39" i="80"/>
  <c r="AG39" i="80"/>
  <c r="AG49" i="80"/>
  <c r="AH49" i="80"/>
  <c r="AG32" i="80"/>
  <c r="AH32" i="80"/>
  <c r="AH9" i="80"/>
  <c r="AG9" i="80"/>
  <c r="AH11" i="80"/>
  <c r="AG11" i="80"/>
  <c r="AH44" i="80"/>
  <c r="AG44" i="80"/>
  <c r="AM39" i="80"/>
  <c r="AM37" i="80"/>
  <c r="AM26" i="80"/>
  <c r="AM38" i="80"/>
  <c r="AH43" i="80"/>
  <c r="AG43" i="80"/>
  <c r="AM16" i="80"/>
  <c r="AH35" i="80"/>
  <c r="AG35" i="80"/>
  <c r="AG33" i="80"/>
  <c r="AH33" i="80"/>
  <c r="AM22" i="80"/>
  <c r="AM7" i="80"/>
  <c r="AG19" i="80"/>
  <c r="AH19" i="80"/>
  <c r="AH42" i="80"/>
  <c r="AG42" i="80"/>
  <c r="AM45" i="80"/>
  <c r="AH47" i="80"/>
  <c r="AG47" i="80"/>
  <c r="AG46" i="80"/>
  <c r="AH46" i="80"/>
  <c r="AH17" i="80"/>
  <c r="AG17" i="80"/>
  <c r="AH20" i="80"/>
  <c r="AG20" i="80"/>
  <c r="AH23" i="80"/>
  <c r="AG23" i="80"/>
  <c r="AM14" i="80"/>
  <c r="AM48" i="80"/>
  <c r="AM40" i="80"/>
  <c r="AM8" i="80"/>
  <c r="AM15" i="80"/>
  <c r="BD9" i="80"/>
  <c r="BC10" i="80"/>
  <c r="BD7" i="80"/>
  <c r="BC9" i="78"/>
  <c r="L14" i="78"/>
  <c r="M10" i="78" s="1"/>
  <c r="AW8" i="78"/>
  <c r="AX8" i="78" s="1"/>
  <c r="AX14" i="78"/>
  <c r="C77" i="78"/>
  <c r="AW11" i="78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W49" i="78"/>
  <c r="AX49" i="78" s="1"/>
  <c r="AW29" i="78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X11" i="78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X29" i="78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W46" i="78"/>
  <c r="AW48" i="78"/>
  <c r="AX48" i="78" s="1"/>
  <c r="AX44" i="78"/>
  <c r="AX46" i="78"/>
  <c r="AX51" i="78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K58" i="79"/>
  <c r="AM58" i="79" s="1"/>
  <c r="AL58" i="79"/>
  <c r="AK57" i="79"/>
  <c r="AM57" i="79" s="1"/>
  <c r="AL57" i="79"/>
  <c r="AK52" i="79"/>
  <c r="AM52" i="79" s="1"/>
  <c r="AL52" i="79"/>
  <c r="AL63" i="79"/>
  <c r="AK63" i="79"/>
  <c r="AM63" i="79" s="1"/>
  <c r="AL64" i="79"/>
  <c r="AK64" i="79"/>
  <c r="AM64" i="79" s="1"/>
  <c r="AL51" i="79"/>
  <c r="AK51" i="79"/>
  <c r="AM51" i="79" s="1"/>
  <c r="AK60" i="79"/>
  <c r="AM60" i="79" s="1"/>
  <c r="AL60" i="79"/>
  <c r="AK54" i="79"/>
  <c r="AM54" i="79" s="1"/>
  <c r="AL54" i="79"/>
  <c r="AK56" i="79"/>
  <c r="AM56" i="79" s="1"/>
  <c r="AL56" i="79"/>
  <c r="AL67" i="79"/>
  <c r="AK67" i="79"/>
  <c r="AM67" i="79" s="1"/>
  <c r="AL59" i="79"/>
  <c r="AK59" i="79"/>
  <c r="AM59" i="79" s="1"/>
  <c r="AL65" i="79"/>
  <c r="AK65" i="79"/>
  <c r="AM65" i="79" s="1"/>
  <c r="AL62" i="79"/>
  <c r="AK62" i="79"/>
  <c r="AM62" i="79" s="1"/>
  <c r="AH13" i="79"/>
  <c r="AG13" i="79"/>
  <c r="AK53" i="79"/>
  <c r="AM53" i="79" s="1"/>
  <c r="AL53" i="79"/>
  <c r="AK55" i="79"/>
  <c r="AM55" i="79" s="1"/>
  <c r="AL55" i="79"/>
  <c r="AL66" i="79"/>
  <c r="AK66" i="79"/>
  <c r="AM66" i="79" s="1"/>
  <c r="A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S9" i="81" l="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O14" i="80"/>
  <c r="P8" i="80" s="1"/>
  <c r="AA12" i="80"/>
  <c r="BD10" i="80"/>
  <c r="BC11" i="80"/>
  <c r="V8" i="80"/>
  <c r="U14" i="80"/>
  <c r="AA10" i="80"/>
  <c r="BI9" i="80"/>
  <c r="BH9" i="80"/>
  <c r="BG9" i="80"/>
  <c r="BF9" i="80"/>
  <c r="AA9" i="80"/>
  <c r="AA11" i="80"/>
  <c r="AA13" i="80"/>
  <c r="R14" i="80"/>
  <c r="S12" i="80" s="1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X58" i="5" s="1"/>
  <c r="BW56" i="5"/>
  <c r="BW58" i="5" s="1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G39" i="78"/>
  <c r="E39" i="79"/>
  <c r="AK61" i="79"/>
  <c r="E23" i="79"/>
  <c r="AL12" i="79"/>
  <c r="AJ13" i="78"/>
  <c r="AL39" i="79"/>
  <c r="AL43" i="79"/>
  <c r="AK34" i="79"/>
  <c r="G33" i="78"/>
  <c r="E31" i="79"/>
  <c r="AJ46" i="78"/>
  <c r="AL44" i="79"/>
  <c r="E41" i="79"/>
  <c r="AJ22" i="78"/>
  <c r="E19" i="79"/>
  <c r="E20" i="79"/>
  <c r="AL33" i="79"/>
  <c r="AJ52" i="78"/>
  <c r="AL20" i="79"/>
  <c r="AK12" i="79"/>
  <c r="E22" i="79"/>
  <c r="AK29" i="79"/>
  <c r="AK39" i="79"/>
  <c r="AK43" i="79"/>
  <c r="AL35" i="79"/>
  <c r="E28" i="79"/>
  <c r="AJ55" i="78"/>
  <c r="E13" i="79"/>
  <c r="AL21" i="79"/>
  <c r="G14" i="78"/>
  <c r="AL36" i="79"/>
  <c r="G22" i="78"/>
  <c r="AK44" i="79"/>
  <c r="AL61" i="79"/>
  <c r="G24" i="78"/>
  <c r="AK22" i="79"/>
  <c r="AJ61" i="78"/>
  <c r="G46" i="78"/>
  <c r="AK8" i="79"/>
  <c r="AJ23" i="78"/>
  <c r="E61" i="79"/>
  <c r="G42" i="78"/>
  <c r="E47" i="79"/>
  <c r="E48" i="79"/>
  <c r="E43" i="79"/>
  <c r="AJ39" i="78"/>
  <c r="AJ28" i="78"/>
  <c r="AK35" i="79"/>
  <c r="AJ40" i="78"/>
  <c r="E50" i="79"/>
  <c r="G61" i="78"/>
  <c r="AJ42" i="78"/>
  <c r="AL24" i="79"/>
  <c r="AJ12" i="78"/>
  <c r="G45" i="78"/>
  <c r="AK33" i="79"/>
  <c r="G21" i="78"/>
  <c r="E11" i="79"/>
  <c r="E27" i="79"/>
  <c r="AJ26" i="78"/>
  <c r="AJ47" i="78"/>
  <c r="AK19" i="79"/>
  <c r="AK37" i="79"/>
  <c r="AK18" i="79"/>
  <c r="AJ60" i="78"/>
  <c r="AK46" i="79"/>
  <c r="E32" i="79"/>
  <c r="AL22" i="79"/>
  <c r="G49" i="78"/>
  <c r="AJ21" i="78"/>
  <c r="AL27" i="79"/>
  <c r="AL42" i="79"/>
  <c r="E38" i="79"/>
  <c r="AK45" i="79"/>
  <c r="AL19" i="79"/>
  <c r="G10" i="78"/>
  <c r="AK17" i="79"/>
  <c r="AJ33" i="78"/>
  <c r="E17" i="79"/>
  <c r="AJ45" i="78"/>
  <c r="AJ51" i="78"/>
  <c r="AJ18" i="78"/>
  <c r="AK14" i="79"/>
  <c r="AK42" i="79"/>
  <c r="AL23" i="79"/>
  <c r="AL30" i="79"/>
  <c r="AK41" i="79"/>
  <c r="E29" i="79"/>
  <c r="AK32" i="79"/>
  <c r="E15" i="79"/>
  <c r="AL31" i="79"/>
  <c r="AL7" i="78"/>
  <c r="G13" i="78"/>
  <c r="AL50" i="79"/>
  <c r="AJ54" i="78"/>
  <c r="AK30" i="79"/>
  <c r="E35" i="79"/>
  <c r="AJ44" i="78"/>
  <c r="AL38" i="79"/>
  <c r="AL8" i="79"/>
  <c r="E9" i="79"/>
  <c r="AJ17" i="78"/>
  <c r="AK26" i="79"/>
  <c r="AJ24" i="78"/>
  <c r="AL29" i="79"/>
  <c r="E18" i="79"/>
  <c r="E33" i="79"/>
  <c r="AL46" i="79"/>
  <c r="G37" i="78"/>
  <c r="AJ19" i="78"/>
  <c r="G20" i="78"/>
  <c r="G8" i="78"/>
  <c r="AK24" i="79"/>
  <c r="AL48" i="79"/>
  <c r="AJ29" i="78"/>
  <c r="AK7" i="79"/>
  <c r="AK49" i="79"/>
  <c r="AJ62" i="78"/>
  <c r="AJ31" i="78"/>
  <c r="AL16" i="79"/>
  <c r="G47" i="78"/>
  <c r="G35" i="78"/>
  <c r="G23" i="78"/>
  <c r="AL37" i="79"/>
  <c r="G50" i="78"/>
  <c r="G44" i="78"/>
  <c r="G31" i="78"/>
  <c r="G34" i="78"/>
  <c r="E8" i="79"/>
  <c r="AJ37" i="78"/>
  <c r="AJ43" i="78"/>
  <c r="AJ14" i="78"/>
  <c r="G9" i="78"/>
  <c r="E14" i="79"/>
  <c r="AL10" i="79"/>
  <c r="AJ48" i="78"/>
  <c r="AK28" i="79"/>
  <c r="G48" i="78"/>
  <c r="E24" i="79"/>
  <c r="G26" i="78"/>
  <c r="AL11" i="79"/>
  <c r="E26" i="79"/>
  <c r="AL47" i="79"/>
  <c r="G41" i="78"/>
  <c r="AK11" i="79"/>
  <c r="AJ30" i="78"/>
  <c r="AJ10" i="78"/>
  <c r="AJ56" i="78"/>
  <c r="AL9" i="79"/>
  <c r="AL25" i="79"/>
  <c r="AJ38" i="78"/>
  <c r="AK7" i="78"/>
  <c r="AK31" i="79"/>
  <c r="G12" i="78"/>
  <c r="AJ11" i="78"/>
  <c r="AJ27" i="78"/>
  <c r="AJ25" i="78"/>
  <c r="G7" i="78"/>
  <c r="AJ58" i="78"/>
  <c r="AJ35" i="78"/>
  <c r="AL7" i="79"/>
  <c r="AK20" i="79"/>
  <c r="AL14" i="79"/>
  <c r="G29" i="78"/>
  <c r="AK48" i="79"/>
  <c r="AJ67" i="78"/>
  <c r="E25" i="79"/>
  <c r="G32" i="78"/>
  <c r="G30" i="78"/>
  <c r="AL49" i="79"/>
  <c r="AJ32" i="78"/>
  <c r="E21" i="79"/>
  <c r="AK16" i="79"/>
  <c r="AK47" i="79"/>
  <c r="AJ59" i="78"/>
  <c r="G25" i="78"/>
  <c r="E16" i="79"/>
  <c r="AL45" i="79"/>
  <c r="G28" i="78"/>
  <c r="AJ15" i="78"/>
  <c r="AJ8" i="78"/>
  <c r="AJ63" i="78"/>
  <c r="AL34" i="79"/>
  <c r="AK50" i="79"/>
  <c r="AJ65" i="78"/>
  <c r="E36" i="79"/>
  <c r="G16" i="78"/>
  <c r="AJ57" i="78"/>
  <c r="AK10" i="79"/>
  <c r="AJ36" i="78"/>
  <c r="E44" i="79"/>
  <c r="G36" i="78"/>
  <c r="G17" i="78"/>
  <c r="AK21" i="79"/>
  <c r="AK23" i="79"/>
  <c r="AL26" i="79"/>
  <c r="G40" i="78"/>
  <c r="G19" i="78"/>
  <c r="E37" i="79"/>
  <c r="AJ66" i="78"/>
  <c r="AL15" i="79"/>
  <c r="AL41" i="79"/>
  <c r="E45" i="79"/>
  <c r="AJ49" i="78"/>
  <c r="AJ9" i="78"/>
  <c r="AK15" i="79"/>
  <c r="AJ20" i="78"/>
  <c r="AK25" i="79"/>
  <c r="G18" i="78"/>
  <c r="AJ53" i="78"/>
  <c r="AL17" i="79"/>
  <c r="E7" i="79"/>
  <c r="AK9" i="79"/>
  <c r="E40" i="79"/>
  <c r="G43" i="78"/>
  <c r="AK36" i="79"/>
  <c r="AJ41" i="78"/>
  <c r="AK40" i="79"/>
  <c r="E30" i="79"/>
  <c r="AJ64" i="78"/>
  <c r="E34" i="79"/>
  <c r="E46" i="79"/>
  <c r="AJ34" i="78"/>
  <c r="G27" i="78"/>
  <c r="AJ50" i="78"/>
  <c r="G11" i="78"/>
  <c r="E10" i="79"/>
  <c r="G15" i="78"/>
  <c r="E49" i="79"/>
  <c r="AK27" i="79"/>
  <c r="E42" i="79"/>
  <c r="AL28" i="79"/>
  <c r="AL18" i="79"/>
  <c r="AJ16" i="78"/>
  <c r="AL40" i="79"/>
  <c r="G38" i="78"/>
  <c r="AK38" i="79"/>
  <c r="AL32" i="79"/>
  <c r="E12" i="79"/>
  <c r="BG11" i="81" l="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AA14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V8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16" i="78"/>
  <c r="AL45" i="78"/>
  <c r="AL41" i="78"/>
  <c r="E23" i="78"/>
  <c r="E12" i="78"/>
  <c r="AL17" i="78"/>
  <c r="AK34" i="78"/>
  <c r="AL18" i="78"/>
  <c r="AK37" i="78"/>
  <c r="AK28" i="78"/>
  <c r="AL34" i="78"/>
  <c r="AK41" i="78"/>
  <c r="AL31" i="78"/>
  <c r="E34" i="78"/>
  <c r="AL49" i="78"/>
  <c r="AK61" i="78"/>
  <c r="E14" i="78"/>
  <c r="E17" i="78"/>
  <c r="AK45" i="78"/>
  <c r="AK13" i="78"/>
  <c r="AJ8" i="76"/>
  <c r="AK9" i="78"/>
  <c r="AL19" i="78"/>
  <c r="AL14" i="78"/>
  <c r="AK44" i="78"/>
  <c r="E25" i="78"/>
  <c r="AL47" i="78"/>
  <c r="AL61" i="78"/>
  <c r="AK35" i="78"/>
  <c r="E36" i="78"/>
  <c r="AL36" i="78"/>
  <c r="E41" i="78"/>
  <c r="AK48" i="78"/>
  <c r="E6" i="76"/>
  <c r="AL28" i="78"/>
  <c r="AL21" i="78"/>
  <c r="AL12" i="78"/>
  <c r="E44" i="78"/>
  <c r="AK47" i="78"/>
  <c r="E15" i="78"/>
  <c r="AK27" i="78"/>
  <c r="AL38" i="78"/>
  <c r="AK22" i="78"/>
  <c r="E48" i="78"/>
  <c r="AK14" i="78"/>
  <c r="AK32" i="78"/>
  <c r="AL46" i="78"/>
  <c r="AL32" i="78"/>
  <c r="AL35" i="78"/>
  <c r="AK36" i="78"/>
  <c r="AK8" i="78"/>
  <c r="E32" i="78"/>
  <c r="E45" i="78"/>
  <c r="AK23" i="78"/>
  <c r="AK29" i="78"/>
  <c r="AK17" i="78"/>
  <c r="E13" i="78"/>
  <c r="E35" i="78"/>
  <c r="AL24" i="78"/>
  <c r="E38" i="78"/>
  <c r="AK31" i="78"/>
  <c r="AK18" i="78"/>
  <c r="AK21" i="78"/>
  <c r="AL10" i="78"/>
  <c r="AL43" i="78"/>
  <c r="AK16" i="78"/>
  <c r="E29" i="78"/>
  <c r="E37" i="78"/>
  <c r="E28" i="78"/>
  <c r="AK19" i="78"/>
  <c r="AL37" i="78"/>
  <c r="E31" i="78"/>
  <c r="AL23" i="78"/>
  <c r="E40" i="78"/>
  <c r="AL29" i="78"/>
  <c r="E8" i="78"/>
  <c r="AL33" i="78"/>
  <c r="E39" i="78"/>
  <c r="E49" i="78"/>
  <c r="E19" i="78"/>
  <c r="E43" i="78"/>
  <c r="AK15" i="78"/>
  <c r="AK12" i="78"/>
  <c r="AL39" i="78"/>
  <c r="AK26" i="78"/>
  <c r="E11" i="78"/>
  <c r="AL25" i="78"/>
  <c r="AK38" i="78"/>
  <c r="AK33" i="78"/>
  <c r="E26" i="78"/>
  <c r="E9" i="78"/>
  <c r="E61" i="78"/>
  <c r="AL30" i="78"/>
  <c r="E18" i="78"/>
  <c r="AL9" i="78"/>
  <c r="AK39" i="78"/>
  <c r="AL26" i="78"/>
  <c r="AL50" i="78"/>
  <c r="AL11" i="78"/>
  <c r="AK10" i="78"/>
  <c r="AK46" i="78"/>
  <c r="AL48" i="78"/>
  <c r="AK49" i="78"/>
  <c r="E27" i="78"/>
  <c r="AK20" i="78"/>
  <c r="AL16" i="78"/>
  <c r="E30" i="78"/>
  <c r="E22" i="78"/>
  <c r="E7" i="78"/>
  <c r="E20" i="78"/>
  <c r="AL15" i="78"/>
  <c r="AK42" i="78"/>
  <c r="AL27" i="78"/>
  <c r="AL13" i="78"/>
  <c r="E21" i="78"/>
  <c r="AL20" i="78"/>
  <c r="E42" i="78"/>
  <c r="E46" i="78"/>
  <c r="AK50" i="78"/>
  <c r="AK11" i="78"/>
  <c r="AL22" i="78"/>
  <c r="AK24" i="78"/>
  <c r="AL8" i="78"/>
  <c r="AL40" i="78"/>
  <c r="AL44" i="78"/>
  <c r="AK40" i="78"/>
  <c r="E47" i="78"/>
  <c r="AK25" i="78"/>
  <c r="AK30" i="78"/>
  <c r="E33" i="78"/>
  <c r="E50" i="78"/>
  <c r="E10" i="78"/>
  <c r="AL42" i="78"/>
  <c r="E24" i="78"/>
  <c r="AK43" i="78"/>
  <c r="BY53" i="5" l="1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62" i="76"/>
  <c r="AJ16" i="76"/>
  <c r="AJ40" i="76"/>
  <c r="AJ53" i="76"/>
  <c r="AJ27" i="76"/>
  <c r="AJ50" i="76"/>
  <c r="G27" i="76"/>
  <c r="AJ63" i="76"/>
  <c r="AJ28" i="76"/>
  <c r="AJ29" i="76"/>
  <c r="G45" i="76"/>
  <c r="AJ54" i="76"/>
  <c r="G29" i="76"/>
  <c r="G47" i="76"/>
  <c r="G50" i="76"/>
  <c r="AJ41" i="76"/>
  <c r="G23" i="76"/>
  <c r="G28" i="76"/>
  <c r="G10" i="76"/>
  <c r="G32" i="76"/>
  <c r="AJ18" i="76"/>
  <c r="AJ34" i="76"/>
  <c r="G43" i="76"/>
  <c r="G12" i="76"/>
  <c r="G26" i="76"/>
  <c r="AJ15" i="76"/>
  <c r="AJ66" i="76"/>
  <c r="G37" i="76"/>
  <c r="AJ19" i="76"/>
  <c r="AJ56" i="76"/>
  <c r="AJ10" i="76"/>
  <c r="AJ21" i="76"/>
  <c r="AJ12" i="76"/>
  <c r="E6" i="75"/>
  <c r="AJ45" i="76"/>
  <c r="G35" i="76"/>
  <c r="G17" i="76"/>
  <c r="AJ33" i="76"/>
  <c r="AJ59" i="76"/>
  <c r="G18" i="76"/>
  <c r="G7" i="76"/>
  <c r="G13" i="76"/>
  <c r="AK8" i="76"/>
  <c r="G30" i="76"/>
  <c r="AJ25" i="76"/>
  <c r="G49" i="76"/>
  <c r="AJ65" i="76"/>
  <c r="AJ43" i="76"/>
  <c r="G24" i="76"/>
  <c r="AJ13" i="76"/>
  <c r="AJ32" i="76"/>
  <c r="AJ11" i="76"/>
  <c r="AJ9" i="76"/>
  <c r="AJ38" i="76"/>
  <c r="AJ31" i="76"/>
  <c r="AJ61" i="76"/>
  <c r="G22" i="76"/>
  <c r="AJ36" i="76"/>
  <c r="AJ26" i="76"/>
  <c r="G25" i="76"/>
  <c r="G36" i="76"/>
  <c r="G41" i="76"/>
  <c r="AJ35" i="76"/>
  <c r="AJ7" i="76"/>
  <c r="G14" i="76"/>
  <c r="G42" i="76"/>
  <c r="AL8" i="76"/>
  <c r="AJ49" i="76"/>
  <c r="G46" i="76"/>
  <c r="AJ60" i="76"/>
  <c r="AJ55" i="76"/>
  <c r="AJ64" i="76"/>
  <c r="G34" i="76"/>
  <c r="AJ52" i="76"/>
  <c r="AJ23" i="76"/>
  <c r="AJ20" i="75"/>
  <c r="G48" i="76"/>
  <c r="AJ14" i="76"/>
  <c r="AJ42" i="76"/>
  <c r="AJ13" i="75"/>
  <c r="AJ46" i="76"/>
  <c r="AJ37" i="76"/>
  <c r="G31" i="76"/>
  <c r="G33" i="76"/>
  <c r="AJ57" i="76"/>
  <c r="G21" i="76"/>
  <c r="AJ58" i="76"/>
  <c r="G16" i="76"/>
  <c r="G15" i="75"/>
  <c r="AJ22" i="76"/>
  <c r="AJ47" i="76"/>
  <c r="G11" i="76"/>
  <c r="G44" i="76"/>
  <c r="G15" i="76"/>
  <c r="G61" i="76"/>
  <c r="G38" i="76"/>
  <c r="AJ17" i="76"/>
  <c r="AJ24" i="76"/>
  <c r="AJ39" i="76"/>
  <c r="G19" i="76"/>
  <c r="G9" i="76"/>
  <c r="AJ20" i="76"/>
  <c r="G8" i="76"/>
  <c r="AJ51" i="76"/>
  <c r="G20" i="76"/>
  <c r="AJ30" i="76"/>
  <c r="G40" i="76"/>
  <c r="AJ67" i="76"/>
  <c r="AJ18" i="75"/>
  <c r="AJ48" i="76"/>
  <c r="AJ44" i="76"/>
  <c r="G39" i="76"/>
  <c r="AA12" i="78" l="1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AK15" i="76"/>
  <c r="G39" i="75"/>
  <c r="AL42" i="76"/>
  <c r="AJ61" i="75"/>
  <c r="E21" i="76"/>
  <c r="AL27" i="76"/>
  <c r="AK29" i="76"/>
  <c r="E30" i="76"/>
  <c r="AJ48" i="75"/>
  <c r="AK18" i="76"/>
  <c r="AL44" i="76"/>
  <c r="E47" i="76"/>
  <c r="AJ53" i="75"/>
  <c r="G37" i="75"/>
  <c r="G36" i="75"/>
  <c r="AK7" i="76"/>
  <c r="AL38" i="76"/>
  <c r="G34" i="75"/>
  <c r="AL33" i="76"/>
  <c r="E16" i="76"/>
  <c r="E42" i="76"/>
  <c r="G32" i="75"/>
  <c r="E41" i="76"/>
  <c r="G48" i="75"/>
  <c r="AJ65" i="75"/>
  <c r="AJ15" i="75"/>
  <c r="AL7" i="76"/>
  <c r="AL23" i="76"/>
  <c r="AL24" i="76"/>
  <c r="AK22" i="76"/>
  <c r="AJ44" i="75"/>
  <c r="E9" i="76"/>
  <c r="G51" i="75"/>
  <c r="E11" i="76"/>
  <c r="AJ50" i="75"/>
  <c r="AJ57" i="75"/>
  <c r="AK14" i="76"/>
  <c r="E7" i="76"/>
  <c r="AK46" i="76"/>
  <c r="AJ64" i="75"/>
  <c r="AJ66" i="75"/>
  <c r="G49" i="75"/>
  <c r="G45" i="75"/>
  <c r="G43" i="75"/>
  <c r="AK47" i="76"/>
  <c r="AL15" i="76"/>
  <c r="G17" i="75"/>
  <c r="AJ30" i="75"/>
  <c r="AJ43" i="75"/>
  <c r="E18" i="76"/>
  <c r="AL22" i="76"/>
  <c r="G18" i="75"/>
  <c r="AL61" i="76"/>
  <c r="AK13" i="75"/>
  <c r="AJ17" i="75"/>
  <c r="G25" i="75"/>
  <c r="AJ51" i="75"/>
  <c r="E6" i="74"/>
  <c r="AL26" i="76"/>
  <c r="AJ22" i="75"/>
  <c r="AL9" i="76"/>
  <c r="G13" i="75"/>
  <c r="AL36" i="76"/>
  <c r="AL47" i="76"/>
  <c r="AJ32" i="75"/>
  <c r="AK49" i="76"/>
  <c r="AK48" i="76"/>
  <c r="G7" i="74"/>
  <c r="AK26" i="76"/>
  <c r="G23" i="75"/>
  <c r="E45" i="76"/>
  <c r="AK33" i="76"/>
  <c r="G7" i="75"/>
  <c r="G14" i="75"/>
  <c r="AJ10" i="75"/>
  <c r="E48" i="76"/>
  <c r="AL31" i="76"/>
  <c r="E12" i="76"/>
  <c r="AK42" i="76"/>
  <c r="AL32" i="76"/>
  <c r="AJ45" i="75"/>
  <c r="G33" i="75"/>
  <c r="G41" i="75"/>
  <c r="AJ14" i="75"/>
  <c r="AJ55" i="75"/>
  <c r="E13" i="76"/>
  <c r="AL29" i="76"/>
  <c r="AK37" i="76"/>
  <c r="AJ7" i="75"/>
  <c r="AJ42" i="75"/>
  <c r="AK11" i="76"/>
  <c r="G11" i="75"/>
  <c r="E36" i="76"/>
  <c r="AL45" i="76"/>
  <c r="G42" i="75"/>
  <c r="AL12" i="76"/>
  <c r="AJ67" i="75"/>
  <c r="AJ12" i="75"/>
  <c r="G47" i="75"/>
  <c r="AK28" i="76"/>
  <c r="G27" i="75"/>
  <c r="AK36" i="76"/>
  <c r="AL19" i="76"/>
  <c r="E20" i="76"/>
  <c r="G22" i="75"/>
  <c r="AL28" i="76"/>
  <c r="E26" i="76"/>
  <c r="AK35" i="76"/>
  <c r="AJ40" i="75"/>
  <c r="AJ21" i="75"/>
  <c r="E34" i="76"/>
  <c r="AL43" i="76"/>
  <c r="AK19" i="76"/>
  <c r="AJ52" i="75"/>
  <c r="E17" i="76"/>
  <c r="E29" i="76"/>
  <c r="AK17" i="76"/>
  <c r="AJ39" i="75"/>
  <c r="AJ9" i="75"/>
  <c r="G38" i="75"/>
  <c r="AL48" i="76"/>
  <c r="AK23" i="76"/>
  <c r="E35" i="76"/>
  <c r="E40" i="76"/>
  <c r="AL14" i="76"/>
  <c r="G35" i="75"/>
  <c r="AK34" i="76"/>
  <c r="AJ46" i="75"/>
  <c r="AL20" i="76"/>
  <c r="AJ34" i="75"/>
  <c r="AK30" i="76"/>
  <c r="AL46" i="76"/>
  <c r="AL18" i="76"/>
  <c r="AL16" i="76"/>
  <c r="AJ62" i="75"/>
  <c r="G31" i="75"/>
  <c r="AJ19" i="75"/>
  <c r="E32" i="76"/>
  <c r="AJ60" i="75"/>
  <c r="G12" i="75"/>
  <c r="E33" i="76"/>
  <c r="E49" i="76"/>
  <c r="E14" i="76"/>
  <c r="AL25" i="76"/>
  <c r="AJ25" i="75"/>
  <c r="AJ59" i="75"/>
  <c r="AJ58" i="75"/>
  <c r="G16" i="75"/>
  <c r="G20" i="75"/>
  <c r="AL49" i="76"/>
  <c r="AL17" i="76"/>
  <c r="E38" i="76"/>
  <c r="AL40" i="76"/>
  <c r="AL11" i="76"/>
  <c r="AJ23" i="75"/>
  <c r="G8" i="75"/>
  <c r="AK25" i="76"/>
  <c r="E50" i="76"/>
  <c r="E8" i="76"/>
  <c r="AJ28" i="75"/>
  <c r="AJ47" i="75"/>
  <c r="E22" i="76"/>
  <c r="AJ33" i="75"/>
  <c r="AL37" i="76"/>
  <c r="AK20" i="75"/>
  <c r="AL41" i="76"/>
  <c r="AK31" i="76"/>
  <c r="AJ24" i="75"/>
  <c r="AL21" i="76"/>
  <c r="G40" i="75"/>
  <c r="AJ35" i="75"/>
  <c r="AJ54" i="75"/>
  <c r="G10" i="75"/>
  <c r="AL13" i="75"/>
  <c r="E31" i="76"/>
  <c r="AL34" i="76"/>
  <c r="AJ27" i="75"/>
  <c r="AK38" i="76"/>
  <c r="AK18" i="75"/>
  <c r="G29" i="75"/>
  <c r="G50" i="75"/>
  <c r="AL18" i="75"/>
  <c r="E23" i="76"/>
  <c r="G26" i="75"/>
  <c r="AJ31" i="75"/>
  <c r="AK20" i="76"/>
  <c r="AL10" i="76"/>
  <c r="E28" i="76"/>
  <c r="G46" i="75"/>
  <c r="AK27" i="76"/>
  <c r="G44" i="75"/>
  <c r="AK9" i="76"/>
  <c r="G28" i="75"/>
  <c r="E44" i="76"/>
  <c r="AJ37" i="75"/>
  <c r="AL20" i="75"/>
  <c r="AK12" i="76"/>
  <c r="AK41" i="76"/>
  <c r="AK21" i="76"/>
  <c r="AK39" i="76"/>
  <c r="E15" i="76"/>
  <c r="AK16" i="76"/>
  <c r="G61" i="75"/>
  <c r="AK40" i="76"/>
  <c r="AJ56" i="75"/>
  <c r="AL13" i="76"/>
  <c r="E27" i="76"/>
  <c r="AK44" i="76"/>
  <c r="E61" i="76"/>
  <c r="AJ16" i="75"/>
  <c r="G9" i="75"/>
  <c r="G30" i="75"/>
  <c r="AL39" i="76"/>
  <c r="AK24" i="76"/>
  <c r="AK45" i="76"/>
  <c r="AK43" i="76"/>
  <c r="AK13" i="76"/>
  <c r="AL35" i="76"/>
  <c r="AJ41" i="75"/>
  <c r="AK50" i="76"/>
  <c r="G24" i="75"/>
  <c r="AJ38" i="75"/>
  <c r="G19" i="75"/>
  <c r="E46" i="76"/>
  <c r="AJ36" i="75"/>
  <c r="AL50" i="76"/>
  <c r="E19" i="76"/>
  <c r="E37" i="76"/>
  <c r="AJ11" i="75"/>
  <c r="G52" i="75"/>
  <c r="E10" i="76"/>
  <c r="E24" i="76"/>
  <c r="AK61" i="76"/>
  <c r="AK32" i="76"/>
  <c r="AJ63" i="75"/>
  <c r="AJ29" i="75"/>
  <c r="E15" i="75"/>
  <c r="E39" i="76"/>
  <c r="AL30" i="76"/>
  <c r="AJ26" i="75"/>
  <c r="AK10" i="76"/>
  <c r="E25" i="76"/>
  <c r="AJ49" i="75"/>
  <c r="G21" i="75"/>
  <c r="AJ8" i="75"/>
  <c r="E43" i="76"/>
  <c r="S10" i="78" l="1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M13" i="75"/>
  <c r="AK62" i="75"/>
  <c r="AM62" i="75" s="1"/>
  <c r="AL62" i="75"/>
  <c r="AL57" i="75"/>
  <c r="AK57" i="75"/>
  <c r="AM57" i="75" s="1"/>
  <c r="AL58" i="75"/>
  <c r="AK58" i="75"/>
  <c r="AM58" i="75" s="1"/>
  <c r="AM18" i="75"/>
  <c r="AH13" i="75"/>
  <c r="AG13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X33" i="74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BY7" i="7"/>
  <c r="BY31" i="7"/>
  <c r="BY21" i="7"/>
  <c r="BY11" i="7"/>
  <c r="BG15" i="81" l="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P58" i="5" s="1"/>
  <c r="BO56" i="5"/>
  <c r="BO58" i="5" s="1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J67" i="74"/>
  <c r="AL37" i="75"/>
  <c r="AL31" i="75"/>
  <c r="AJ64" i="74"/>
  <c r="E28" i="75"/>
  <c r="AK50" i="75"/>
  <c r="AJ15" i="74"/>
  <c r="G33" i="74"/>
  <c r="AJ55" i="74"/>
  <c r="AK33" i="75"/>
  <c r="AL28" i="75"/>
  <c r="E35" i="75"/>
  <c r="AL10" i="75"/>
  <c r="AL16" i="75"/>
  <c r="AL30" i="75"/>
  <c r="G27" i="74"/>
  <c r="AK12" i="75"/>
  <c r="AL25" i="75"/>
  <c r="AK49" i="75"/>
  <c r="AJ20" i="74"/>
  <c r="G51" i="74"/>
  <c r="AK30" i="75"/>
  <c r="AL26" i="75"/>
  <c r="AJ31" i="74"/>
  <c r="AL9" i="75"/>
  <c r="E50" i="75"/>
  <c r="E48" i="75"/>
  <c r="AJ44" i="74"/>
  <c r="AL23" i="75"/>
  <c r="AK45" i="75"/>
  <c r="AL24" i="75"/>
  <c r="AK17" i="75"/>
  <c r="E49" i="75"/>
  <c r="E33" i="75"/>
  <c r="AL50" i="75"/>
  <c r="AL43" i="75"/>
  <c r="E45" i="75"/>
  <c r="E34" i="75"/>
  <c r="AL27" i="75"/>
  <c r="AK46" i="75"/>
  <c r="G39" i="74"/>
  <c r="AK51" i="75"/>
  <c r="AK28" i="75"/>
  <c r="AJ22" i="74"/>
  <c r="G61" i="74"/>
  <c r="AJ49" i="74"/>
  <c r="G14" i="74"/>
  <c r="G18" i="74"/>
  <c r="AK29" i="75"/>
  <c r="AL41" i="75"/>
  <c r="AJ28" i="74"/>
  <c r="AL8" i="75"/>
  <c r="E23" i="75"/>
  <c r="AJ54" i="74"/>
  <c r="G52" i="74"/>
  <c r="E22" i="75"/>
  <c r="E26" i="75"/>
  <c r="G13" i="74"/>
  <c r="G44" i="74"/>
  <c r="AK15" i="75"/>
  <c r="AJ56" i="74"/>
  <c r="G15" i="74"/>
  <c r="AJ19" i="74"/>
  <c r="AJ43" i="74"/>
  <c r="AL38" i="75"/>
  <c r="AK8" i="75"/>
  <c r="G25" i="74"/>
  <c r="E40" i="75"/>
  <c r="AJ7" i="74"/>
  <c r="AJ36" i="74"/>
  <c r="G24" i="74"/>
  <c r="AJ30" i="74"/>
  <c r="E42" i="75"/>
  <c r="E29" i="75"/>
  <c r="AK44" i="75"/>
  <c r="AJ39" i="74"/>
  <c r="AL42" i="75"/>
  <c r="AL52" i="75"/>
  <c r="G46" i="74"/>
  <c r="AK10" i="75"/>
  <c r="E43" i="75"/>
  <c r="AK61" i="75"/>
  <c r="AK41" i="75"/>
  <c r="AL46" i="75"/>
  <c r="G31" i="74"/>
  <c r="G20" i="74"/>
  <c r="G49" i="74"/>
  <c r="G12" i="74"/>
  <c r="E13" i="75"/>
  <c r="E19" i="75"/>
  <c r="AL45" i="75"/>
  <c r="G9" i="74"/>
  <c r="AJ27" i="74"/>
  <c r="AK43" i="75"/>
  <c r="G38" i="74"/>
  <c r="AK36" i="75"/>
  <c r="AJ52" i="74"/>
  <c r="AL61" i="75"/>
  <c r="AJ17" i="74"/>
  <c r="AK26" i="75"/>
  <c r="AK34" i="75"/>
  <c r="AJ57" i="74"/>
  <c r="AL40" i="75"/>
  <c r="AK27" i="75"/>
  <c r="E27" i="75"/>
  <c r="G34" i="74"/>
  <c r="E12" i="75"/>
  <c r="AL49" i="75"/>
  <c r="AJ41" i="74"/>
  <c r="G32" i="74"/>
  <c r="AL12" i="75"/>
  <c r="AK37" i="75"/>
  <c r="AJ23" i="74"/>
  <c r="AL35" i="75"/>
  <c r="AJ33" i="74"/>
  <c r="G40" i="74"/>
  <c r="E36" i="75"/>
  <c r="AJ32" i="74"/>
  <c r="E16" i="75"/>
  <c r="AJ8" i="74"/>
  <c r="E37" i="75"/>
  <c r="E31" i="75"/>
  <c r="E61" i="75"/>
  <c r="AJ60" i="74"/>
  <c r="G28" i="74"/>
  <c r="E51" i="75"/>
  <c r="G35" i="74"/>
  <c r="AJ29" i="74"/>
  <c r="G41" i="74"/>
  <c r="AJ24" i="74"/>
  <c r="AJ65" i="74"/>
  <c r="G17" i="74"/>
  <c r="AJ59" i="74"/>
  <c r="E39" i="75"/>
  <c r="AL21" i="75"/>
  <c r="AJ63" i="74"/>
  <c r="G30" i="74"/>
  <c r="E41" i="75"/>
  <c r="G10" i="74"/>
  <c r="AK25" i="75"/>
  <c r="AL32" i="75"/>
  <c r="AJ37" i="74"/>
  <c r="G19" i="74"/>
  <c r="G43" i="74"/>
  <c r="AJ25" i="74"/>
  <c r="AK35" i="75"/>
  <c r="AK14" i="75"/>
  <c r="AJ42" i="74"/>
  <c r="AL29" i="75"/>
  <c r="G22" i="74"/>
  <c r="AL44" i="75"/>
  <c r="AK40" i="75"/>
  <c r="E20" i="75"/>
  <c r="E44" i="75"/>
  <c r="G8" i="74"/>
  <c r="AL22" i="75"/>
  <c r="AL11" i="75"/>
  <c r="G26" i="74"/>
  <c r="AK23" i="75"/>
  <c r="E30" i="75"/>
  <c r="AL47" i="75"/>
  <c r="AJ13" i="74"/>
  <c r="AL7" i="75"/>
  <c r="AJ34" i="74"/>
  <c r="AJ50" i="74"/>
  <c r="AJ66" i="74"/>
  <c r="AL14" i="75"/>
  <c r="G37" i="74"/>
  <c r="AK32" i="75"/>
  <c r="AL51" i="75"/>
  <c r="E7" i="74"/>
  <c r="AK31" i="75"/>
  <c r="AK24" i="75"/>
  <c r="E25" i="75"/>
  <c r="AJ16" i="74"/>
  <c r="AK48" i="75"/>
  <c r="AJ12" i="74"/>
  <c r="AJ38" i="74"/>
  <c r="E10" i="75"/>
  <c r="AK19" i="75"/>
  <c r="AJ51" i="74"/>
  <c r="AJ11" i="74"/>
  <c r="AJ40" i="74"/>
  <c r="AK21" i="75"/>
  <c r="AL15" i="75"/>
  <c r="AJ26" i="74"/>
  <c r="AJ35" i="74"/>
  <c r="AK39" i="75"/>
  <c r="AL19" i="75"/>
  <c r="E8" i="75"/>
  <c r="AJ10" i="74"/>
  <c r="E47" i="75"/>
  <c r="E24" i="75"/>
  <c r="G11" i="74"/>
  <c r="AL39" i="75"/>
  <c r="AJ46" i="74"/>
  <c r="AJ48" i="74"/>
  <c r="AL36" i="75"/>
  <c r="E38" i="75"/>
  <c r="AK7" i="75"/>
  <c r="G45" i="74"/>
  <c r="AJ53" i="74"/>
  <c r="AK11" i="75"/>
  <c r="AJ47" i="74"/>
  <c r="G21" i="74"/>
  <c r="AJ9" i="74"/>
  <c r="AL33" i="75"/>
  <c r="E18" i="75"/>
  <c r="AL48" i="75"/>
  <c r="E14" i="75"/>
  <c r="G47" i="74"/>
  <c r="AJ61" i="74"/>
  <c r="E21" i="75"/>
  <c r="AL17" i="75"/>
  <c r="AK42" i="75"/>
  <c r="G23" i="74"/>
  <c r="AJ45" i="74"/>
  <c r="AJ58" i="74"/>
  <c r="AK9" i="75"/>
  <c r="AL34" i="75"/>
  <c r="AJ14" i="74"/>
  <c r="E52" i="75"/>
  <c r="E9" i="75"/>
  <c r="E7" i="75"/>
  <c r="AJ62" i="74"/>
  <c r="G50" i="74"/>
  <c r="E46" i="75"/>
  <c r="AK47" i="75"/>
  <c r="E17" i="75"/>
  <c r="AJ18" i="74"/>
  <c r="AJ21" i="74"/>
  <c r="G36" i="74"/>
  <c r="E32" i="75"/>
  <c r="G16" i="74"/>
  <c r="G42" i="74"/>
  <c r="G29" i="74"/>
  <c r="G48" i="74"/>
  <c r="E11" i="75"/>
  <c r="AK22" i="75"/>
  <c r="AK38" i="75"/>
  <c r="AK52" i="75"/>
  <c r="AK16" i="75"/>
  <c r="BA7" i="7"/>
  <c r="BH16" i="81" l="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K4" i="73"/>
  <c r="AK2" i="73" s="1"/>
  <c r="AJ4" i="73"/>
  <c r="AJ2" i="73" s="1"/>
  <c r="G3" i="73"/>
  <c r="AL2" i="73"/>
  <c r="E2" i="73"/>
  <c r="E3" i="73" s="1"/>
  <c r="A1" i="73"/>
  <c r="AL48" i="74"/>
  <c r="E47" i="74"/>
  <c r="E48" i="74"/>
  <c r="AK27" i="74"/>
  <c r="AK17" i="74"/>
  <c r="AK20" i="74"/>
  <c r="E13" i="74"/>
  <c r="AL12" i="74"/>
  <c r="AL17" i="74"/>
  <c r="AL18" i="74"/>
  <c r="AK50" i="74"/>
  <c r="G51" i="73"/>
  <c r="AK39" i="74"/>
  <c r="G26" i="73"/>
  <c r="E41" i="74"/>
  <c r="E28" i="74"/>
  <c r="E49" i="74"/>
  <c r="E8" i="74"/>
  <c r="AL41" i="74"/>
  <c r="AK29" i="74"/>
  <c r="AL34" i="74"/>
  <c r="E27" i="74"/>
  <c r="AK41" i="74"/>
  <c r="AK45" i="74"/>
  <c r="AL46" i="74"/>
  <c r="E31" i="74"/>
  <c r="AK48" i="74"/>
  <c r="E24" i="74"/>
  <c r="AK51" i="74"/>
  <c r="AL29" i="74"/>
  <c r="AK42" i="74"/>
  <c r="AK49" i="74"/>
  <c r="AK9" i="74"/>
  <c r="E15" i="74"/>
  <c r="E22" i="74"/>
  <c r="E25" i="74"/>
  <c r="AL32" i="74"/>
  <c r="E26" i="74"/>
  <c r="AK16" i="74"/>
  <c r="AL50" i="74"/>
  <c r="AK34" i="74"/>
  <c r="E43" i="74"/>
  <c r="E37" i="74"/>
  <c r="E14" i="74"/>
  <c r="E21" i="74"/>
  <c r="E61" i="74"/>
  <c r="AL19" i="74"/>
  <c r="AL43" i="74"/>
  <c r="AL25" i="74"/>
  <c r="AL36" i="74"/>
  <c r="G30" i="73"/>
  <c r="E40" i="74"/>
  <c r="AK24" i="74"/>
  <c r="E20" i="74"/>
  <c r="AK37" i="74"/>
  <c r="E18" i="74"/>
  <c r="AL28" i="74"/>
  <c r="AK28" i="74"/>
  <c r="E46" i="74"/>
  <c r="E50" i="74"/>
  <c r="E12" i="74"/>
  <c r="AL14" i="74"/>
  <c r="AL8" i="74"/>
  <c r="E30" i="74"/>
  <c r="E35" i="74"/>
  <c r="E52" i="74"/>
  <c r="AL31" i="74"/>
  <c r="AL47" i="74"/>
  <c r="AK61" i="74"/>
  <c r="E34" i="74"/>
  <c r="AK30" i="74"/>
  <c r="AL39" i="74"/>
  <c r="E10" i="74"/>
  <c r="AL38" i="74"/>
  <c r="AK21" i="74"/>
  <c r="E29" i="74"/>
  <c r="AK22" i="74"/>
  <c r="AL15" i="74"/>
  <c r="AL35" i="74"/>
  <c r="AK13" i="74"/>
  <c r="AK36" i="74"/>
  <c r="AL61" i="74"/>
  <c r="AL44" i="74"/>
  <c r="AK38" i="74"/>
  <c r="AK31" i="74"/>
  <c r="AK10" i="74"/>
  <c r="AL33" i="74"/>
  <c r="AK15" i="74"/>
  <c r="AL40" i="74"/>
  <c r="AL13" i="74"/>
  <c r="E17" i="74"/>
  <c r="AL11" i="74"/>
  <c r="E44" i="74"/>
  <c r="AL49" i="74"/>
  <c r="AL21" i="74"/>
  <c r="AL20" i="74"/>
  <c r="E51" i="74"/>
  <c r="AK8" i="74"/>
  <c r="AL37" i="74"/>
  <c r="E42" i="74"/>
  <c r="AK25" i="74"/>
  <c r="AL9" i="74"/>
  <c r="AK35" i="74"/>
  <c r="AK14" i="74"/>
  <c r="AL30" i="74"/>
  <c r="E39" i="74"/>
  <c r="E9" i="74"/>
  <c r="AL45" i="74"/>
  <c r="AK7" i="74"/>
  <c r="E16" i="74"/>
  <c r="E6" i="73"/>
  <c r="AK52" i="74"/>
  <c r="AK33" i="74"/>
  <c r="AL51" i="74"/>
  <c r="E32" i="74"/>
  <c r="AK47" i="74"/>
  <c r="AK44" i="74"/>
  <c r="E36" i="74"/>
  <c r="AK26" i="74"/>
  <c r="AK23" i="74"/>
  <c r="AK43" i="74"/>
  <c r="E11" i="74"/>
  <c r="AK11" i="74"/>
  <c r="AL22" i="74"/>
  <c r="AL7" i="74"/>
  <c r="AL42" i="74"/>
  <c r="AL52" i="74"/>
  <c r="AL10" i="74"/>
  <c r="AK18" i="74"/>
  <c r="E19" i="74"/>
  <c r="AL27" i="74"/>
  <c r="AK19" i="74"/>
  <c r="AK12" i="74"/>
  <c r="AK40" i="74"/>
  <c r="AL23" i="74"/>
  <c r="E38" i="74"/>
  <c r="AK46" i="74"/>
  <c r="E23" i="74"/>
  <c r="AL16" i="74"/>
  <c r="AL24" i="74"/>
  <c r="AL26" i="74"/>
  <c r="AK32" i="74"/>
  <c r="E33" i="74"/>
  <c r="E45" i="74"/>
  <c r="BA11" i="7"/>
  <c r="BC19" i="81" l="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K4" i="71"/>
  <c r="AK2" i="71" s="1"/>
  <c r="AJ4" i="71"/>
  <c r="AJ2" i="71" s="1"/>
  <c r="G3" i="71"/>
  <c r="AL2" i="71"/>
  <c r="E2" i="71"/>
  <c r="E3" i="71" s="1"/>
  <c r="A1" i="71"/>
  <c r="G53" i="73"/>
  <c r="G11" i="73"/>
  <c r="G31" i="73"/>
  <c r="AJ19" i="73"/>
  <c r="AJ43" i="73"/>
  <c r="G17" i="73"/>
  <c r="AJ64" i="73"/>
  <c r="AJ65" i="73"/>
  <c r="G19" i="73"/>
  <c r="AJ48" i="73"/>
  <c r="AJ14" i="73"/>
  <c r="AJ30" i="73"/>
  <c r="AJ27" i="73"/>
  <c r="G28" i="73"/>
  <c r="AJ29" i="73"/>
  <c r="AJ57" i="73"/>
  <c r="G61" i="73"/>
  <c r="G35" i="73"/>
  <c r="AJ12" i="73"/>
  <c r="G24" i="73"/>
  <c r="E51" i="73"/>
  <c r="AJ44" i="73"/>
  <c r="AJ21" i="73"/>
  <c r="G39" i="73"/>
  <c r="G33" i="73"/>
  <c r="G29" i="73"/>
  <c r="AJ60" i="73"/>
  <c r="AJ39" i="73"/>
  <c r="AJ45" i="73"/>
  <c r="AJ63" i="73"/>
  <c r="G41" i="73"/>
  <c r="G10" i="73"/>
  <c r="G40" i="73"/>
  <c r="AJ38" i="73"/>
  <c r="AJ61" i="73"/>
  <c r="G43" i="73"/>
  <c r="AJ7" i="73"/>
  <c r="G21" i="73"/>
  <c r="AJ34" i="73"/>
  <c r="G22" i="73"/>
  <c r="AJ46" i="73"/>
  <c r="G52" i="73"/>
  <c r="AJ15" i="73"/>
  <c r="G34" i="73"/>
  <c r="AJ28" i="73"/>
  <c r="AJ31" i="73"/>
  <c r="G37" i="73"/>
  <c r="E26" i="73"/>
  <c r="AJ26" i="73"/>
  <c r="AJ10" i="73"/>
  <c r="G46" i="73"/>
  <c r="AJ20" i="73"/>
  <c r="AJ49" i="73"/>
  <c r="AJ8" i="73"/>
  <c r="AJ41" i="73"/>
  <c r="G14" i="73"/>
  <c r="G23" i="73"/>
  <c r="G25" i="73"/>
  <c r="AJ58" i="73"/>
  <c r="G44" i="73"/>
  <c r="G20" i="73"/>
  <c r="AJ56" i="73"/>
  <c r="G13" i="73"/>
  <c r="G9" i="73"/>
  <c r="AJ16" i="73"/>
  <c r="G49" i="73"/>
  <c r="AJ11" i="73"/>
  <c r="G27" i="73"/>
  <c r="AJ67" i="73"/>
  <c r="G38" i="73"/>
  <c r="AJ66" i="73"/>
  <c r="AJ37" i="73"/>
  <c r="AJ9" i="73"/>
  <c r="AJ51" i="73"/>
  <c r="G41" i="71"/>
  <c r="AJ36" i="73"/>
  <c r="G36" i="73"/>
  <c r="AJ53" i="73"/>
  <c r="AJ18" i="73"/>
  <c r="AJ52" i="73"/>
  <c r="AJ42" i="73"/>
  <c r="G45" i="73"/>
  <c r="AJ50" i="73"/>
  <c r="E6" i="71"/>
  <c r="AJ33" i="73"/>
  <c r="AJ54" i="73"/>
  <c r="G48" i="73"/>
  <c r="G47" i="73"/>
  <c r="AJ35" i="73"/>
  <c r="G8" i="73"/>
  <c r="G50" i="73"/>
  <c r="G15" i="73"/>
  <c r="AJ23" i="73"/>
  <c r="AJ13" i="73"/>
  <c r="E30" i="73"/>
  <c r="AJ24" i="73"/>
  <c r="AJ62" i="73"/>
  <c r="G42" i="73"/>
  <c r="G32" i="73"/>
  <c r="AJ55" i="73"/>
  <c r="AJ47" i="73"/>
  <c r="AJ25" i="73"/>
  <c r="AJ59" i="73"/>
  <c r="G12" i="73"/>
  <c r="AJ40" i="73"/>
  <c r="G16" i="73"/>
  <c r="G7" i="73"/>
  <c r="AJ17" i="73"/>
  <c r="AJ22" i="73"/>
  <c r="AJ32" i="73"/>
  <c r="G18" i="73"/>
  <c r="S11" i="75" l="1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9" i="71"/>
  <c r="G8" i="71"/>
  <c r="G10" i="71"/>
  <c r="G11" i="71"/>
  <c r="E41" i="73"/>
  <c r="E7" i="73"/>
  <c r="G14" i="71"/>
  <c r="E34" i="73"/>
  <c r="BG19" i="81" l="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E35" i="73"/>
  <c r="AK11" i="73"/>
  <c r="AJ24" i="71"/>
  <c r="E23" i="73"/>
  <c r="AL13" i="73"/>
  <c r="AJ16" i="71"/>
  <c r="G47" i="71"/>
  <c r="AL32" i="73"/>
  <c r="E24" i="73"/>
  <c r="AJ34" i="71"/>
  <c r="G24" i="71"/>
  <c r="AJ35" i="71"/>
  <c r="AL19" i="73"/>
  <c r="AK16" i="73"/>
  <c r="AK9" i="73"/>
  <c r="G46" i="71"/>
  <c r="AJ8" i="71"/>
  <c r="G19" i="71"/>
  <c r="AJ21" i="71"/>
  <c r="E36" i="73"/>
  <c r="AK48" i="73"/>
  <c r="AJ47" i="71"/>
  <c r="AJ23" i="71"/>
  <c r="AJ64" i="71"/>
  <c r="E29" i="73"/>
  <c r="AJ7" i="71"/>
  <c r="AJ15" i="71"/>
  <c r="AK29" i="73"/>
  <c r="G37" i="71"/>
  <c r="E15" i="73"/>
  <c r="G12" i="71"/>
  <c r="E33" i="73"/>
  <c r="AJ20" i="71"/>
  <c r="AJ22" i="71"/>
  <c r="G53" i="71"/>
  <c r="AL17" i="73"/>
  <c r="AJ13" i="71"/>
  <c r="AK14" i="73"/>
  <c r="G30" i="71"/>
  <c r="G52" i="71"/>
  <c r="G39" i="71"/>
  <c r="AJ60" i="71"/>
  <c r="AL48" i="73"/>
  <c r="AJ17" i="71"/>
  <c r="E13" i="73"/>
  <c r="E49" i="73"/>
  <c r="AL26" i="73"/>
  <c r="AL25" i="73"/>
  <c r="E61" i="73"/>
  <c r="AJ30" i="71"/>
  <c r="AJ31" i="71"/>
  <c r="AK31" i="73"/>
  <c r="AL37" i="73"/>
  <c r="AL51" i="73"/>
  <c r="AK52" i="73"/>
  <c r="AJ14" i="71"/>
  <c r="G48" i="71"/>
  <c r="G28" i="71"/>
  <c r="AJ9" i="71"/>
  <c r="E31" i="73"/>
  <c r="AK43" i="73"/>
  <c r="E22" i="73"/>
  <c r="E43" i="73"/>
  <c r="AJ33" i="71"/>
  <c r="G32" i="71"/>
  <c r="AK12" i="73"/>
  <c r="AK47" i="73"/>
  <c r="AK25" i="73"/>
  <c r="AK10" i="73"/>
  <c r="AL29" i="73"/>
  <c r="E21" i="73"/>
  <c r="E45" i="73"/>
  <c r="AL35" i="73"/>
  <c r="E10" i="71"/>
  <c r="AJ38" i="71"/>
  <c r="E40" i="73"/>
  <c r="E12" i="73"/>
  <c r="AK17" i="73"/>
  <c r="E9" i="73"/>
  <c r="AK19" i="73"/>
  <c r="AL15" i="73"/>
  <c r="AL22" i="73"/>
  <c r="AL20" i="73"/>
  <c r="AJ57" i="71"/>
  <c r="AL34" i="73"/>
  <c r="AK61" i="73"/>
  <c r="AJ67" i="71"/>
  <c r="AK35" i="73"/>
  <c r="AK7" i="73"/>
  <c r="AK36" i="73"/>
  <c r="AJ45" i="71"/>
  <c r="G36" i="71"/>
  <c r="AJ48" i="71"/>
  <c r="AK50" i="73"/>
  <c r="AJ41" i="71"/>
  <c r="AK45" i="73"/>
  <c r="AK39" i="73"/>
  <c r="AJ49" i="71"/>
  <c r="E16" i="73"/>
  <c r="AK33" i="73"/>
  <c r="AJ19" i="71"/>
  <c r="AJ54" i="71"/>
  <c r="AK15" i="73"/>
  <c r="AL7" i="73"/>
  <c r="AL38" i="73"/>
  <c r="G27" i="71"/>
  <c r="E48" i="73"/>
  <c r="G16" i="71"/>
  <c r="E14" i="73"/>
  <c r="AK20" i="73"/>
  <c r="AJ11" i="71"/>
  <c r="E32" i="73"/>
  <c r="AL52" i="73"/>
  <c r="E28" i="73"/>
  <c r="E11" i="71"/>
  <c r="E20" i="73"/>
  <c r="AL9" i="73"/>
  <c r="G22" i="71"/>
  <c r="AL49" i="73"/>
  <c r="G42" i="71"/>
  <c r="AJ39" i="71"/>
  <c r="AJ18" i="71"/>
  <c r="AL10" i="73"/>
  <c r="AL41" i="73"/>
  <c r="AK28" i="73"/>
  <c r="G35" i="71"/>
  <c r="AL23" i="73"/>
  <c r="AL39" i="73"/>
  <c r="G18" i="71"/>
  <c r="AK13" i="73"/>
  <c r="G26" i="71"/>
  <c r="G40" i="71"/>
  <c r="G23" i="70"/>
  <c r="AJ61" i="71"/>
  <c r="AL44" i="73"/>
  <c r="AK23" i="73"/>
  <c r="AL12" i="73"/>
  <c r="E41" i="71"/>
  <c r="E25" i="73"/>
  <c r="AK27" i="73"/>
  <c r="AK38" i="73"/>
  <c r="AJ32" i="71"/>
  <c r="AL11" i="73"/>
  <c r="AJ66" i="71"/>
  <c r="E52" i="73"/>
  <c r="AJ26" i="71"/>
  <c r="G31" i="71"/>
  <c r="AL50" i="73"/>
  <c r="G43" i="71"/>
  <c r="G61" i="71"/>
  <c r="AJ62" i="71"/>
  <c r="G25" i="71"/>
  <c r="AL30" i="73"/>
  <c r="AJ55" i="71"/>
  <c r="AL16" i="73"/>
  <c r="AJ43" i="71"/>
  <c r="G51" i="71"/>
  <c r="AL33" i="73"/>
  <c r="E19" i="73"/>
  <c r="AK51" i="73"/>
  <c r="AK21" i="73"/>
  <c r="AK24" i="73"/>
  <c r="AL27" i="73"/>
  <c r="E47" i="73"/>
  <c r="AL28" i="73"/>
  <c r="AJ25" i="71"/>
  <c r="AJ36" i="71"/>
  <c r="E38" i="73"/>
  <c r="AL46" i="73"/>
  <c r="AL40" i="73"/>
  <c r="AJ52" i="71"/>
  <c r="G13" i="71"/>
  <c r="AL31" i="73"/>
  <c r="E8" i="73"/>
  <c r="E42" i="73"/>
  <c r="E11" i="73"/>
  <c r="G45" i="71"/>
  <c r="E46" i="73"/>
  <c r="AK30" i="73"/>
  <c r="AK44" i="73"/>
  <c r="AK42" i="73"/>
  <c r="E44" i="73"/>
  <c r="AJ29" i="71"/>
  <c r="AL47" i="73"/>
  <c r="AJ63" i="71"/>
  <c r="G20" i="71"/>
  <c r="G50" i="71"/>
  <c r="G34" i="71"/>
  <c r="AL61" i="73"/>
  <c r="AL43" i="73"/>
  <c r="AJ58" i="71"/>
  <c r="AL45" i="73"/>
  <c r="AL14" i="73"/>
  <c r="AL8" i="73"/>
  <c r="G15" i="71"/>
  <c r="AJ10" i="71"/>
  <c r="AK41" i="73"/>
  <c r="AJ56" i="71"/>
  <c r="AK18" i="73"/>
  <c r="G23" i="71"/>
  <c r="AJ42" i="71"/>
  <c r="AJ65" i="71"/>
  <c r="E50" i="73"/>
  <c r="G7" i="71"/>
  <c r="AK22" i="73"/>
  <c r="AL21" i="73"/>
  <c r="E8" i="71"/>
  <c r="AK49" i="73"/>
  <c r="AK37" i="73"/>
  <c r="AJ44" i="71"/>
  <c r="G33" i="71"/>
  <c r="G49" i="71"/>
  <c r="AK8" i="73"/>
  <c r="E6" i="70"/>
  <c r="E10" i="73"/>
  <c r="AL24" i="73"/>
  <c r="AJ46" i="71"/>
  <c r="AJ27" i="71"/>
  <c r="AJ12" i="71"/>
  <c r="E14" i="71"/>
  <c r="AJ28" i="71"/>
  <c r="AJ50" i="71"/>
  <c r="G29" i="71"/>
  <c r="AK46" i="73"/>
  <c r="AJ53" i="71"/>
  <c r="AJ40" i="71"/>
  <c r="E18" i="73"/>
  <c r="G21" i="71"/>
  <c r="E9" i="71"/>
  <c r="AJ51" i="71"/>
  <c r="AK34" i="73"/>
  <c r="AL18" i="73"/>
  <c r="AL36" i="73"/>
  <c r="E39" i="73"/>
  <c r="E27" i="73"/>
  <c r="G44" i="71"/>
  <c r="AK32" i="73"/>
  <c r="E37" i="73"/>
  <c r="AJ37" i="71"/>
  <c r="AK40" i="73"/>
  <c r="AJ59" i="71"/>
  <c r="E17" i="73"/>
  <c r="AL42" i="73"/>
  <c r="G17" i="71"/>
  <c r="G38" i="71"/>
  <c r="AK26" i="73"/>
  <c r="BD21" i="81" l="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AL13" i="71"/>
  <c r="E15" i="71"/>
  <c r="AK7" i="71"/>
  <c r="E49" i="71"/>
  <c r="E23" i="71"/>
  <c r="AK37" i="71"/>
  <c r="G38" i="70"/>
  <c r="AL18" i="71"/>
  <c r="E22" i="71"/>
  <c r="AJ31" i="70"/>
  <c r="AK13" i="71"/>
  <c r="AK8" i="71"/>
  <c r="E34" i="71"/>
  <c r="AJ35" i="70"/>
  <c r="AL15" i="71"/>
  <c r="AJ41" i="70"/>
  <c r="AL11" i="71"/>
  <c r="AJ15" i="70"/>
  <c r="AJ7" i="70"/>
  <c r="G42" i="70"/>
  <c r="G52" i="70"/>
  <c r="AL7" i="71"/>
  <c r="E24" i="71"/>
  <c r="G24" i="70"/>
  <c r="AK46" i="71"/>
  <c r="AL61" i="71"/>
  <c r="AJ50" i="70"/>
  <c r="G50" i="70"/>
  <c r="E28" i="71"/>
  <c r="AK11" i="71"/>
  <c r="AK32" i="71"/>
  <c r="AJ52" i="70"/>
  <c r="AJ66" i="70"/>
  <c r="G51" i="70"/>
  <c r="AK43" i="71"/>
  <c r="AJ33" i="70"/>
  <c r="E25" i="71"/>
  <c r="AK10" i="71"/>
  <c r="AK42" i="71"/>
  <c r="AJ42" i="70"/>
  <c r="AL53" i="71"/>
  <c r="G53" i="70"/>
  <c r="AJ17" i="70"/>
  <c r="G19" i="70"/>
  <c r="AK21" i="71"/>
  <c r="AJ9" i="70"/>
  <c r="AK31" i="71"/>
  <c r="G22" i="70"/>
  <c r="AL40" i="71"/>
  <c r="AJ28" i="70"/>
  <c r="AL26" i="71"/>
  <c r="AK61" i="71"/>
  <c r="AK25" i="71"/>
  <c r="AJ20" i="70"/>
  <c r="AK27" i="71"/>
  <c r="AL16" i="71"/>
  <c r="G38" i="69"/>
  <c r="AJ53" i="70"/>
  <c r="AJ23" i="70"/>
  <c r="G43" i="70"/>
  <c r="AK33" i="71"/>
  <c r="AL17" i="71"/>
  <c r="G12" i="70"/>
  <c r="AJ30" i="70"/>
  <c r="AL9" i="71"/>
  <c r="G28" i="70"/>
  <c r="E37" i="71"/>
  <c r="G9" i="70"/>
  <c r="AJ38" i="70"/>
  <c r="AJ60" i="70"/>
  <c r="G27" i="69"/>
  <c r="AJ7" i="69"/>
  <c r="G41" i="70"/>
  <c r="E45" i="71"/>
  <c r="AK20" i="71"/>
  <c r="AK24" i="71"/>
  <c r="E30" i="71"/>
  <c r="AJ22" i="70"/>
  <c r="G31" i="70"/>
  <c r="AJ47" i="70"/>
  <c r="G8" i="70"/>
  <c r="G49" i="70"/>
  <c r="AK35" i="71"/>
  <c r="AK51" i="71"/>
  <c r="AL14" i="71"/>
  <c r="AJ40" i="70"/>
  <c r="G15" i="70"/>
  <c r="AJ58" i="70"/>
  <c r="AL47" i="71"/>
  <c r="E13" i="71"/>
  <c r="AJ64" i="70"/>
  <c r="AL35" i="71"/>
  <c r="E52" i="71"/>
  <c r="G17" i="70"/>
  <c r="AK50" i="71"/>
  <c r="E47" i="71"/>
  <c r="AJ57" i="70"/>
  <c r="AL48" i="71"/>
  <c r="AK19" i="71"/>
  <c r="AK12" i="71"/>
  <c r="AK45" i="71"/>
  <c r="G13" i="70"/>
  <c r="E44" i="71"/>
  <c r="E17" i="71"/>
  <c r="AK17" i="71"/>
  <c r="G7" i="70"/>
  <c r="E27" i="71"/>
  <c r="E12" i="71"/>
  <c r="G15" i="69"/>
  <c r="AL27" i="71"/>
  <c r="AK41" i="71"/>
  <c r="AL41" i="71"/>
  <c r="E61" i="71"/>
  <c r="AL8" i="71"/>
  <c r="AK9" i="71"/>
  <c r="AJ54" i="70"/>
  <c r="AL12" i="71"/>
  <c r="AK29" i="71"/>
  <c r="G16" i="70"/>
  <c r="G48" i="70"/>
  <c r="G14" i="70"/>
  <c r="AL19" i="71"/>
  <c r="AK14" i="71"/>
  <c r="G37" i="70"/>
  <c r="AK48" i="71"/>
  <c r="AL23" i="71"/>
  <c r="AJ43" i="70"/>
  <c r="AL45" i="71"/>
  <c r="AL43" i="71"/>
  <c r="E38" i="71"/>
  <c r="G47" i="70"/>
  <c r="AJ46" i="70"/>
  <c r="E16" i="71"/>
  <c r="G39" i="70"/>
  <c r="AJ37" i="70"/>
  <c r="AJ34" i="70"/>
  <c r="E48" i="71"/>
  <c r="G10" i="70"/>
  <c r="G34" i="70"/>
  <c r="AJ10" i="70"/>
  <c r="AJ63" i="70"/>
  <c r="G23" i="69"/>
  <c r="E36" i="71"/>
  <c r="G18" i="70"/>
  <c r="AJ39" i="70"/>
  <c r="AK47" i="71"/>
  <c r="E35" i="71"/>
  <c r="G29" i="70"/>
  <c r="E32" i="71"/>
  <c r="AK44" i="71"/>
  <c r="AJ45" i="70"/>
  <c r="E6" i="69"/>
  <c r="E31" i="71"/>
  <c r="G26" i="70"/>
  <c r="AK36" i="71"/>
  <c r="G61" i="70"/>
  <c r="E43" i="71"/>
  <c r="E23" i="70"/>
  <c r="AJ67" i="70"/>
  <c r="AK49" i="71"/>
  <c r="AL39" i="71"/>
  <c r="AJ27" i="70"/>
  <c r="AJ65" i="70"/>
  <c r="AJ25" i="70"/>
  <c r="AJ12" i="70"/>
  <c r="G54" i="70"/>
  <c r="AK28" i="71"/>
  <c r="AL28" i="71"/>
  <c r="AJ29" i="70"/>
  <c r="AJ48" i="70"/>
  <c r="AK52" i="71"/>
  <c r="AK18" i="71"/>
  <c r="AJ8" i="70"/>
  <c r="AL25" i="71"/>
  <c r="AK34" i="71"/>
  <c r="AL51" i="71"/>
  <c r="AL20" i="71"/>
  <c r="AK39" i="71"/>
  <c r="G11" i="70"/>
  <c r="AJ18" i="70"/>
  <c r="AJ14" i="70"/>
  <c r="AK23" i="71"/>
  <c r="AJ59" i="70"/>
  <c r="AJ56" i="70"/>
  <c r="G25" i="70"/>
  <c r="AL46" i="71"/>
  <c r="AJ44" i="70"/>
  <c r="AL22" i="71"/>
  <c r="E20" i="71"/>
  <c r="E21" i="71"/>
  <c r="AK22" i="71"/>
  <c r="G46" i="70"/>
  <c r="E19" i="71"/>
  <c r="E18" i="71"/>
  <c r="AL49" i="71"/>
  <c r="G45" i="70"/>
  <c r="AL42" i="71"/>
  <c r="AK40" i="71"/>
  <c r="AJ24" i="70"/>
  <c r="G44" i="70"/>
  <c r="G35" i="70"/>
  <c r="AJ19" i="70"/>
  <c r="AL30" i="71"/>
  <c r="AJ36" i="70"/>
  <c r="E33" i="71"/>
  <c r="AJ13" i="70"/>
  <c r="G21" i="70"/>
  <c r="AJ11" i="70"/>
  <c r="AL21" i="71"/>
  <c r="G32" i="70"/>
  <c r="AK15" i="71"/>
  <c r="AL32" i="71"/>
  <c r="AL31" i="71"/>
  <c r="AL52" i="71"/>
  <c r="AL34" i="71"/>
  <c r="E40" i="71"/>
  <c r="E53" i="71"/>
  <c r="G27" i="70"/>
  <c r="AK30" i="71"/>
  <c r="AL44" i="71"/>
  <c r="AL10" i="71"/>
  <c r="AJ26" i="70"/>
  <c r="G36" i="70"/>
  <c r="AL24" i="71"/>
  <c r="AJ32" i="70"/>
  <c r="E29" i="71"/>
  <c r="AK26" i="71"/>
  <c r="AJ21" i="70"/>
  <c r="AL50" i="71"/>
  <c r="G40" i="70"/>
  <c r="AL33" i="71"/>
  <c r="G30" i="70"/>
  <c r="AJ62" i="70"/>
  <c r="G33" i="70"/>
  <c r="E46" i="71"/>
  <c r="AJ55" i="70"/>
  <c r="E50" i="71"/>
  <c r="AJ16" i="70"/>
  <c r="E51" i="71"/>
  <c r="AL29" i="71"/>
  <c r="AJ61" i="70"/>
  <c r="AJ51" i="70"/>
  <c r="E39" i="71"/>
  <c r="E42" i="71"/>
  <c r="G20" i="70"/>
  <c r="E7" i="71"/>
  <c r="AJ49" i="70"/>
  <c r="E26" i="71"/>
  <c r="AL37" i="71"/>
  <c r="AL36" i="71"/>
  <c r="AK53" i="71"/>
  <c r="AK16" i="71"/>
  <c r="AG38" i="71" l="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AH48" i="71"/>
  <c r="AG48" i="71"/>
  <c r="AM19" i="71"/>
  <c r="AM14" i="71"/>
  <c r="AG21" i="71"/>
  <c r="AH21" i="71"/>
  <c r="AH13" i="71"/>
  <c r="AG13" i="71"/>
  <c r="AG27" i="71"/>
  <c r="AH27" i="71"/>
  <c r="AM43" i="71"/>
  <c r="AM47" i="71"/>
  <c r="AM33" i="71"/>
  <c r="AM32" i="71"/>
  <c r="AM53" i="71"/>
  <c r="AG41" i="71"/>
  <c r="AH41" i="71"/>
  <c r="AM36" i="71"/>
  <c r="AM51" i="71"/>
  <c r="AG11" i="71"/>
  <c r="AH11" i="71"/>
  <c r="AM26" i="71"/>
  <c r="AM29" i="71"/>
  <c r="AM7" i="71"/>
  <c r="AH24" i="71"/>
  <c r="AG24" i="71"/>
  <c r="AM25" i="71"/>
  <c r="AH18" i="71"/>
  <c r="AG18" i="71"/>
  <c r="AM50" i="71"/>
  <c r="AH46" i="71"/>
  <c r="AG46" i="71"/>
  <c r="AH30" i="71"/>
  <c r="AG30" i="71"/>
  <c r="AM16" i="71"/>
  <c r="AM39" i="71"/>
  <c r="AG45" i="71"/>
  <c r="AH45" i="71"/>
  <c r="AM28" i="71"/>
  <c r="AH14" i="71"/>
  <c r="AG14" i="71"/>
  <c r="AM13" i="71"/>
  <c r="AM27" i="71"/>
  <c r="AM22" i="71"/>
  <c r="AG42" i="71"/>
  <c r="AH42" i="71"/>
  <c r="AG12" i="71"/>
  <c r="AH12" i="71"/>
  <c r="AH32" i="71"/>
  <c r="AG32" i="71"/>
  <c r="AM37" i="71"/>
  <c r="AG23" i="71"/>
  <c r="AH23" i="71"/>
  <c r="AM35" i="71"/>
  <c r="AH51" i="71"/>
  <c r="AG51" i="71"/>
  <c r="AH20" i="71"/>
  <c r="AG20" i="71"/>
  <c r="AH26" i="71"/>
  <c r="AG26" i="71"/>
  <c r="AM40" i="71"/>
  <c r="AH49" i="71"/>
  <c r="AG49" i="71"/>
  <c r="AH25" i="71"/>
  <c r="AG25" i="71"/>
  <c r="AM46" i="71"/>
  <c r="AM30" i="71"/>
  <c r="AH52" i="71"/>
  <c r="AG52" i="71"/>
  <c r="AH39" i="71"/>
  <c r="AG39" i="71"/>
  <c r="AH17" i="71"/>
  <c r="AG17" i="71"/>
  <c r="AH34" i="71"/>
  <c r="AG34" i="71"/>
  <c r="AM45" i="71"/>
  <c r="AM31" i="71"/>
  <c r="AG28" i="71"/>
  <c r="AH28" i="71"/>
  <c r="AM15" i="71"/>
  <c r="AH61" i="71"/>
  <c r="AG61" i="71"/>
  <c r="AG22" i="71"/>
  <c r="AH22" i="71"/>
  <c r="AM42" i="71"/>
  <c r="AM12" i="71"/>
  <c r="AH37" i="71"/>
  <c r="AG37" i="71"/>
  <c r="AM23" i="71"/>
  <c r="AG35" i="71"/>
  <c r="AH35" i="71"/>
  <c r="U16" i="71" a="1"/>
  <c r="U16" i="71" s="1"/>
  <c r="U10" i="71"/>
  <c r="V10" i="71" s="1"/>
  <c r="O16" i="71" a="1"/>
  <c r="O16" i="71" s="1"/>
  <c r="O13" i="71"/>
  <c r="R9" i="71"/>
  <c r="U8" i="71"/>
  <c r="V8" i="71" s="1"/>
  <c r="O12" i="71"/>
  <c r="U13" i="71"/>
  <c r="V13" i="71" s="1"/>
  <c r="R11" i="71"/>
  <c r="R8" i="71"/>
  <c r="O11" i="71"/>
  <c r="R16" i="71" a="1"/>
  <c r="R16" i="71" s="1"/>
  <c r="R13" i="71"/>
  <c r="O10" i="71"/>
  <c r="U11" i="71"/>
  <c r="V11" i="71" s="1"/>
  <c r="O9" i="71"/>
  <c r="U12" i="71"/>
  <c r="V12" i="71" s="1"/>
  <c r="R10" i="71"/>
  <c r="O8" i="71"/>
  <c r="U9" i="71"/>
  <c r="V9" i="71" s="1"/>
  <c r="R12" i="71"/>
  <c r="AM20" i="71"/>
  <c r="AG40" i="71"/>
  <c r="AH40" i="71"/>
  <c r="AM49" i="71"/>
  <c r="AG8" i="71"/>
  <c r="AH8" i="71"/>
  <c r="AM52" i="71"/>
  <c r="AM44" i="71"/>
  <c r="AG10" i="71"/>
  <c r="AH10" i="71"/>
  <c r="AM17" i="71"/>
  <c r="AH9" i="71"/>
  <c r="AG9" i="71"/>
  <c r="AM34" i="71"/>
  <c r="AM48" i="71"/>
  <c r="AG19" i="71"/>
  <c r="AH19" i="71"/>
  <c r="AG31" i="71"/>
  <c r="AH31" i="71"/>
  <c r="AM21" i="71"/>
  <c r="AG15" i="71"/>
  <c r="AH15" i="71"/>
  <c r="AM61" i="71"/>
  <c r="AH43" i="71"/>
  <c r="AG43" i="71"/>
  <c r="AG47" i="71"/>
  <c r="AH47" i="71"/>
  <c r="AG33" i="71"/>
  <c r="AH33" i="71"/>
  <c r="AG53" i="71"/>
  <c r="AH53" i="71"/>
  <c r="AM41" i="71"/>
  <c r="AH36" i="71"/>
  <c r="AG36" i="71"/>
  <c r="AM11" i="71"/>
  <c r="AG29" i="71"/>
  <c r="AH29" i="71"/>
  <c r="AG7" i="71"/>
  <c r="AH7" i="71"/>
  <c r="AM24" i="71"/>
  <c r="AM18" i="71"/>
  <c r="AH50" i="71"/>
  <c r="AG50" i="71"/>
  <c r="AM8" i="71"/>
  <c r="AG16" i="71"/>
  <c r="AH16" i="71"/>
  <c r="AG44" i="71"/>
  <c r="AH44" i="71"/>
  <c r="AM10" i="71"/>
  <c r="AM9" i="71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AL58" i="70"/>
  <c r="AK58" i="70"/>
  <c r="AM58" i="70" s="1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K60" i="70"/>
  <c r="AM60" i="70" s="1"/>
  <c r="AL60" i="70"/>
  <c r="AL56" i="70"/>
  <c r="AK56" i="70"/>
  <c r="AM56" i="70" s="1"/>
  <c r="AK67" i="70"/>
  <c r="AM67" i="70" s="1"/>
  <c r="AL67" i="70"/>
  <c r="AL64" i="70"/>
  <c r="AK64" i="70"/>
  <c r="AM64" i="70" s="1"/>
  <c r="AL65" i="70"/>
  <c r="AK65" i="70"/>
  <c r="AM65" i="70" s="1"/>
  <c r="AK57" i="70"/>
  <c r="AM57" i="70" s="1"/>
  <c r="AL57" i="70"/>
  <c r="AL66" i="70"/>
  <c r="AK66" i="70"/>
  <c r="AM66" i="70" s="1"/>
  <c r="AL59" i="70"/>
  <c r="AK59" i="70"/>
  <c r="AM59" i="70" s="1"/>
  <c r="AL63" i="70"/>
  <c r="AK63" i="70"/>
  <c r="AM63" i="70" s="1"/>
  <c r="AK55" i="70"/>
  <c r="AM55" i="70" s="1"/>
  <c r="AL55" i="70"/>
  <c r="AK62" i="70"/>
  <c r="AM62" i="70" s="1"/>
  <c r="AL62" i="70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K4" i="68"/>
  <c r="AK2" i="68" s="1"/>
  <c r="AJ4" i="68"/>
  <c r="AJ2" i="68" s="1"/>
  <c r="G3" i="68"/>
  <c r="AL2" i="68"/>
  <c r="E2" i="68"/>
  <c r="E3" i="68" s="1"/>
  <c r="A1" i="68"/>
  <c r="G31" i="69"/>
  <c r="G26" i="69"/>
  <c r="AL8" i="70"/>
  <c r="AK10" i="70"/>
  <c r="AL10" i="70"/>
  <c r="AK8" i="70"/>
  <c r="AL12" i="70"/>
  <c r="AL30" i="70"/>
  <c r="AK30" i="70"/>
  <c r="AK12" i="70"/>
  <c r="AJ10" i="69"/>
  <c r="P11" i="73" l="1"/>
  <c r="P8" i="73"/>
  <c r="O5" i="73"/>
  <c r="P14" i="73"/>
  <c r="P10" i="73"/>
  <c r="BF22" i="81"/>
  <c r="BI22" i="81"/>
  <c r="BH22" i="81"/>
  <c r="BG22" i="81"/>
  <c r="BC24" i="81"/>
  <c r="BD23" i="81"/>
  <c r="S9" i="73"/>
  <c r="S14" i="73"/>
  <c r="AA10" i="71"/>
  <c r="U5" i="73"/>
  <c r="S10" i="73"/>
  <c r="S11" i="73"/>
  <c r="R5" i="73"/>
  <c r="S12" i="73"/>
  <c r="AA11" i="71"/>
  <c r="P9" i="73"/>
  <c r="AA14" i="73"/>
  <c r="AA8" i="71"/>
  <c r="AA13" i="71"/>
  <c r="O14" i="71"/>
  <c r="P12" i="71" s="1"/>
  <c r="AA12" i="71"/>
  <c r="R14" i="71"/>
  <c r="S9" i="71" s="1"/>
  <c r="AA9" i="71"/>
  <c r="U14" i="71"/>
  <c r="U5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AG8" i="70"/>
  <c r="AH8" i="70"/>
  <c r="AH12" i="70"/>
  <c r="AG12" i="70"/>
  <c r="AM8" i="70"/>
  <c r="AM12" i="70"/>
  <c r="AM10" i="70"/>
  <c r="AM30" i="70"/>
  <c r="AH10" i="70"/>
  <c r="AG10" i="70"/>
  <c r="AH30" i="70"/>
  <c r="AG30" i="70"/>
  <c r="P13" i="71"/>
  <c r="O5" i="71"/>
  <c r="BD11" i="71"/>
  <c r="BC12" i="71"/>
  <c r="BF10" i="71"/>
  <c r="BG10" i="71"/>
  <c r="BI10" i="71"/>
  <c r="BH10" i="71"/>
  <c r="S13" i="71"/>
  <c r="P11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M58" i="5" s="1"/>
  <c r="BL56" i="5"/>
  <c r="BK56" i="5"/>
  <c r="BK58" i="5" s="1"/>
  <c r="BJ56" i="5"/>
  <c r="BM47" i="5"/>
  <c r="BL47" i="5"/>
  <c r="BK47" i="5"/>
  <c r="BJ47" i="5"/>
  <c r="BM46" i="5"/>
  <c r="BM52" i="5" s="1"/>
  <c r="R13" i="9" s="1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M50" i="5" s="1"/>
  <c r="R11" i="9" s="1"/>
  <c r="BL42" i="5"/>
  <c r="BL50" i="5" s="1"/>
  <c r="BK42" i="5"/>
  <c r="BK50" i="5" s="1"/>
  <c r="BJ42" i="5"/>
  <c r="BJ50" i="5" s="1"/>
  <c r="BM40" i="5"/>
  <c r="BL40" i="5"/>
  <c r="BK40" i="5"/>
  <c r="BJ40" i="5"/>
  <c r="BU31" i="7"/>
  <c r="BU21" i="7"/>
  <c r="BU11" i="7"/>
  <c r="BU7" i="7"/>
  <c r="BC25" i="81" l="1"/>
  <c r="BD24" i="81"/>
  <c r="BG23" i="81"/>
  <c r="BF23" i="81"/>
  <c r="BI23" i="81"/>
  <c r="BH23" i="81"/>
  <c r="S11" i="71"/>
  <c r="V14" i="71"/>
  <c r="P10" i="71"/>
  <c r="P14" i="71"/>
  <c r="P8" i="71"/>
  <c r="P9" i="71"/>
  <c r="AA14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R14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R12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BH24" i="81" l="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D26" i="81" l="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W34" i="65"/>
  <c r="AX34" i="65" s="1"/>
  <c r="AW14" i="65"/>
  <c r="AX14" i="65" s="1"/>
  <c r="AW20" i="65"/>
  <c r="AX20" i="65" s="1"/>
  <c r="AX25" i="65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K4" i="64"/>
  <c r="AJ4" i="64"/>
  <c r="AJ2" i="64" s="1"/>
  <c r="G3" i="64"/>
  <c r="AL2" i="64"/>
  <c r="AK2" i="64"/>
  <c r="E2" i="64"/>
  <c r="E3" i="64" s="1"/>
  <c r="A1" i="64"/>
  <c r="BC28" i="81" l="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G27" i="81" l="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AJ44" i="68"/>
  <c r="G11" i="69"/>
  <c r="G7" i="69"/>
  <c r="AK33" i="70"/>
  <c r="AJ41" i="69"/>
  <c r="E45" i="70"/>
  <c r="AK11" i="70"/>
  <c r="G14" i="69"/>
  <c r="AJ8" i="69"/>
  <c r="AL54" i="70"/>
  <c r="AL27" i="70"/>
  <c r="AJ51" i="68"/>
  <c r="E12" i="70"/>
  <c r="E18" i="70"/>
  <c r="G34" i="68"/>
  <c r="G9" i="68"/>
  <c r="AJ39" i="69"/>
  <c r="AL14" i="70"/>
  <c r="AJ14" i="68"/>
  <c r="AL25" i="70"/>
  <c r="E22" i="70"/>
  <c r="E42" i="70"/>
  <c r="AJ33" i="68"/>
  <c r="G32" i="69"/>
  <c r="AJ11" i="69"/>
  <c r="AK54" i="70"/>
  <c r="E51" i="70"/>
  <c r="G14" i="68"/>
  <c r="E16" i="70"/>
  <c r="E39" i="70"/>
  <c r="AK22" i="70"/>
  <c r="E21" i="70"/>
  <c r="AJ42" i="69"/>
  <c r="AJ11" i="68"/>
  <c r="AJ28" i="69"/>
  <c r="G41" i="68"/>
  <c r="G28" i="68"/>
  <c r="AJ59" i="68"/>
  <c r="G46" i="68"/>
  <c r="AJ32" i="68"/>
  <c r="AK61" i="70"/>
  <c r="E38" i="70"/>
  <c r="G52" i="68"/>
  <c r="AL22" i="70"/>
  <c r="AL31" i="70"/>
  <c r="G34" i="69"/>
  <c r="E31" i="69"/>
  <c r="AJ55" i="68"/>
  <c r="AK15" i="70"/>
  <c r="AJ49" i="69"/>
  <c r="AJ7" i="68"/>
  <c r="E33" i="70"/>
  <c r="AL37" i="70"/>
  <c r="G21" i="68"/>
  <c r="G51" i="69"/>
  <c r="E11" i="70"/>
  <c r="AJ56" i="68"/>
  <c r="E10" i="70"/>
  <c r="AJ24" i="69"/>
  <c r="AJ60" i="68"/>
  <c r="G31" i="68"/>
  <c r="E49" i="70"/>
  <c r="AL18" i="70"/>
  <c r="E43" i="70"/>
  <c r="AJ57" i="69"/>
  <c r="G37" i="68"/>
  <c r="AJ37" i="69"/>
  <c r="G10" i="68"/>
  <c r="AL10" i="69"/>
  <c r="AL52" i="70"/>
  <c r="AJ15" i="69"/>
  <c r="G43" i="69"/>
  <c r="AJ47" i="68"/>
  <c r="G16" i="68"/>
  <c r="G61" i="69"/>
  <c r="AJ40" i="69"/>
  <c r="G44" i="69"/>
  <c r="AJ67" i="69"/>
  <c r="G45" i="69"/>
  <c r="AK43" i="70"/>
  <c r="AJ26" i="68"/>
  <c r="AL35" i="70"/>
  <c r="AK25" i="70"/>
  <c r="AJ64" i="68"/>
  <c r="E15" i="70"/>
  <c r="G47" i="69"/>
  <c r="AJ20" i="69"/>
  <c r="AL32" i="70"/>
  <c r="AJ47" i="69"/>
  <c r="AL53" i="70"/>
  <c r="G39" i="68"/>
  <c r="G12" i="66"/>
  <c r="G17" i="66"/>
  <c r="AJ64" i="66"/>
  <c r="AJ10" i="66"/>
  <c r="AJ57" i="66"/>
  <c r="G13" i="66"/>
  <c r="AJ53" i="66"/>
  <c r="AJ52" i="66"/>
  <c r="G37" i="66"/>
  <c r="G11" i="66"/>
  <c r="AJ45" i="66"/>
  <c r="AJ66" i="66"/>
  <c r="AJ50" i="66"/>
  <c r="G45" i="66"/>
  <c r="AJ14" i="66"/>
  <c r="G54" i="66"/>
  <c r="AJ27" i="66"/>
  <c r="G52" i="66"/>
  <c r="G32" i="66"/>
  <c r="AJ62" i="66"/>
  <c r="AJ29" i="66"/>
  <c r="AJ39" i="66"/>
  <c r="AJ23" i="66"/>
  <c r="G48" i="66"/>
  <c r="AJ8" i="66"/>
  <c r="G41" i="66"/>
  <c r="AJ26" i="66"/>
  <c r="AJ47" i="66"/>
  <c r="G20" i="66"/>
  <c r="AJ60" i="66"/>
  <c r="G24" i="66"/>
  <c r="G34" i="66"/>
  <c r="AK7" i="69"/>
  <c r="AJ56" i="69"/>
  <c r="G18" i="68"/>
  <c r="AJ37" i="68"/>
  <c r="AJ66" i="69"/>
  <c r="AJ61" i="69"/>
  <c r="G53" i="68"/>
  <c r="AK42" i="70"/>
  <c r="G50" i="66"/>
  <c r="AJ42" i="66"/>
  <c r="AJ67" i="66"/>
  <c r="G22" i="68"/>
  <c r="AJ49" i="68"/>
  <c r="G9" i="69"/>
  <c r="AL13" i="70"/>
  <c r="E41" i="70"/>
  <c r="AJ20" i="68"/>
  <c r="AJ31" i="68"/>
  <c r="AL24" i="70"/>
  <c r="G51" i="68"/>
  <c r="AJ35" i="69"/>
  <c r="AJ8" i="68"/>
  <c r="AJ46" i="68"/>
  <c r="AL15" i="70"/>
  <c r="G45" i="68"/>
  <c r="G61" i="68"/>
  <c r="G27" i="68"/>
  <c r="AL9" i="70"/>
  <c r="AJ30" i="69"/>
  <c r="G41" i="69"/>
  <c r="AJ62" i="68"/>
  <c r="AK46" i="70"/>
  <c r="AJ54" i="68"/>
  <c r="AK41" i="70"/>
  <c r="AK37" i="70"/>
  <c r="G47" i="68"/>
  <c r="G7" i="68"/>
  <c r="AJ25" i="68"/>
  <c r="AJ63" i="68"/>
  <c r="E35" i="70"/>
  <c r="E27" i="70"/>
  <c r="G13" i="69"/>
  <c r="AJ59" i="69"/>
  <c r="AJ33" i="69"/>
  <c r="G17" i="68"/>
  <c r="G32" i="68"/>
  <c r="AJ36" i="68"/>
  <c r="AL17" i="70"/>
  <c r="E6" i="66"/>
  <c r="G22" i="69"/>
  <c r="G8" i="69"/>
  <c r="E26" i="70"/>
  <c r="E50" i="70"/>
  <c r="AJ27" i="68"/>
  <c r="AL43" i="70"/>
  <c r="AK39" i="70"/>
  <c r="AJ63" i="69"/>
  <c r="AJ26" i="69"/>
  <c r="AL28" i="70"/>
  <c r="G54" i="68"/>
  <c r="G44" i="68"/>
  <c r="G33" i="68"/>
  <c r="AJ53" i="68"/>
  <c r="G43" i="68"/>
  <c r="AK24" i="70"/>
  <c r="AL41" i="70"/>
  <c r="AL49" i="70"/>
  <c r="AK48" i="70"/>
  <c r="AJ67" i="68"/>
  <c r="G25" i="69"/>
  <c r="AJ9" i="68"/>
  <c r="AJ18" i="68"/>
  <c r="AJ57" i="68"/>
  <c r="AJ45" i="69"/>
  <c r="AJ18" i="69"/>
  <c r="AJ15" i="68"/>
  <c r="G29" i="68"/>
  <c r="G30" i="69"/>
  <c r="E28" i="70"/>
  <c r="E36" i="70"/>
  <c r="AJ38" i="68"/>
  <c r="AJ19" i="68"/>
  <c r="AL50" i="70"/>
  <c r="G42" i="69"/>
  <c r="G10" i="69"/>
  <c r="E15" i="69"/>
  <c r="AK20" i="70"/>
  <c r="E9" i="70"/>
  <c r="G24" i="68"/>
  <c r="AJ22" i="69"/>
  <c r="G23" i="68"/>
  <c r="E40" i="70"/>
  <c r="G12" i="69"/>
  <c r="E46" i="70"/>
  <c r="E17" i="70"/>
  <c r="E29" i="70"/>
  <c r="E34" i="70"/>
  <c r="G20" i="69"/>
  <c r="AL40" i="70"/>
  <c r="AJ36" i="69"/>
  <c r="AJ39" i="68"/>
  <c r="AK44" i="70"/>
  <c r="G27" i="66"/>
  <c r="G36" i="66"/>
  <c r="AJ37" i="66"/>
  <c r="AJ31" i="66"/>
  <c r="G38" i="66"/>
  <c r="G47" i="66"/>
  <c r="G8" i="66"/>
  <c r="G31" i="66"/>
  <c r="AJ9" i="66"/>
  <c r="AJ16" i="66"/>
  <c r="G49" i="66"/>
  <c r="AJ24" i="65"/>
  <c r="AJ43" i="66"/>
  <c r="AJ17" i="65"/>
  <c r="AJ17" i="66"/>
  <c r="AJ20" i="66"/>
  <c r="AJ28" i="66"/>
  <c r="G53" i="66"/>
  <c r="AJ21" i="66"/>
  <c r="AJ22" i="66"/>
  <c r="G40" i="66"/>
  <c r="G9" i="66"/>
  <c r="AJ19" i="66"/>
  <c r="G39" i="66"/>
  <c r="AJ18" i="66"/>
  <c r="AK26" i="70"/>
  <c r="AJ27" i="69"/>
  <c r="AK52" i="70"/>
  <c r="AK28" i="70"/>
  <c r="AJ40" i="68"/>
  <c r="E30" i="70"/>
  <c r="AJ12" i="68"/>
  <c r="AJ29" i="68"/>
  <c r="AJ46" i="69"/>
  <c r="G14" i="66"/>
  <c r="AJ41" i="66"/>
  <c r="E25" i="70"/>
  <c r="AJ64" i="69"/>
  <c r="AJ42" i="68"/>
  <c r="AJ13" i="68"/>
  <c r="AJ12" i="69"/>
  <c r="G50" i="69"/>
  <c r="AJ51" i="69"/>
  <c r="AK45" i="70"/>
  <c r="AJ61" i="68"/>
  <c r="AJ19" i="69"/>
  <c r="AL47" i="70"/>
  <c r="E26" i="69"/>
  <c r="E27" i="69"/>
  <c r="AJ10" i="68"/>
  <c r="AK13" i="70"/>
  <c r="E14" i="70"/>
  <c r="E44" i="70"/>
  <c r="AJ17" i="69"/>
  <c r="AJ16" i="68"/>
  <c r="AK9" i="70"/>
  <c r="E6" i="68"/>
  <c r="E31" i="70"/>
  <c r="G36" i="68"/>
  <c r="E61" i="70"/>
  <c r="AK35" i="70"/>
  <c r="G13" i="68"/>
  <c r="AJ13" i="69"/>
  <c r="AL61" i="70"/>
  <c r="G50" i="68"/>
  <c r="E52" i="70"/>
  <c r="G35" i="69"/>
  <c r="AJ31" i="69"/>
  <c r="AL19" i="70"/>
  <c r="E23" i="69"/>
  <c r="E37" i="70"/>
  <c r="G16" i="69"/>
  <c r="AJ23" i="68"/>
  <c r="AL44" i="70"/>
  <c r="AK23" i="70"/>
  <c r="E13" i="70"/>
  <c r="AJ43" i="68"/>
  <c r="G40" i="68"/>
  <c r="G49" i="68"/>
  <c r="AJ58" i="68"/>
  <c r="AK36" i="70"/>
  <c r="G49" i="69"/>
  <c r="AK18" i="70"/>
  <c r="AK21" i="70"/>
  <c r="G24" i="69"/>
  <c r="AK53" i="70"/>
  <c r="AJ50" i="68"/>
  <c r="G18" i="69"/>
  <c r="G30" i="68"/>
  <c r="AJ48" i="68"/>
  <c r="G8" i="68"/>
  <c r="E8" i="70"/>
  <c r="AL38" i="70"/>
  <c r="G21" i="69"/>
  <c r="AK34" i="70"/>
  <c r="AJ40" i="66"/>
  <c r="E19" i="70"/>
  <c r="G48" i="69"/>
  <c r="G12" i="68"/>
  <c r="AJ52" i="68"/>
  <c r="AL48" i="70"/>
  <c r="AK31" i="70"/>
  <c r="AJ43" i="69"/>
  <c r="G40" i="69"/>
  <c r="AJ16" i="69"/>
  <c r="AK49" i="70"/>
  <c r="G52" i="69"/>
  <c r="AJ65" i="69"/>
  <c r="AK50" i="70"/>
  <c r="AL7" i="69"/>
  <c r="G26" i="66"/>
  <c r="AJ35" i="66"/>
  <c r="AJ30" i="66"/>
  <c r="AK47" i="70"/>
  <c r="G26" i="68"/>
  <c r="AJ35" i="68"/>
  <c r="AJ29" i="69"/>
  <c r="E24" i="70"/>
  <c r="E38" i="69"/>
  <c r="G28" i="69"/>
  <c r="AL42" i="70"/>
  <c r="AL23" i="70"/>
  <c r="G20" i="68"/>
  <c r="G25" i="68"/>
  <c r="AL51" i="70"/>
  <c r="AJ48" i="69"/>
  <c r="G15" i="68"/>
  <c r="AJ65" i="68"/>
  <c r="G29" i="69"/>
  <c r="AL20" i="70"/>
  <c r="AL46" i="70"/>
  <c r="G19" i="69"/>
  <c r="AK17" i="70"/>
  <c r="AJ45" i="68"/>
  <c r="G46" i="69"/>
  <c r="G48" i="68"/>
  <c r="AL21" i="70"/>
  <c r="G53" i="69"/>
  <c r="AJ44" i="69"/>
  <c r="AJ34" i="68"/>
  <c r="E47" i="70"/>
  <c r="AL11" i="70"/>
  <c r="E54" i="70"/>
  <c r="AK51" i="70"/>
  <c r="AJ60" i="69"/>
  <c r="G22" i="66"/>
  <c r="G35" i="68"/>
  <c r="AJ21" i="69"/>
  <c r="AJ66" i="68"/>
  <c r="AK40" i="70"/>
  <c r="AL45" i="70"/>
  <c r="AJ52" i="69"/>
  <c r="AL34" i="70"/>
  <c r="AL33" i="70"/>
  <c r="AK14" i="70"/>
  <c r="G36" i="69"/>
  <c r="G11" i="68"/>
  <c r="AJ22" i="68"/>
  <c r="AJ34" i="69"/>
  <c r="G33" i="69"/>
  <c r="AK27" i="70"/>
  <c r="E48" i="70"/>
  <c r="AJ32" i="69"/>
  <c r="AK19" i="70"/>
  <c r="AJ23" i="69"/>
  <c r="E20" i="70"/>
  <c r="AJ58" i="66"/>
  <c r="AJ33" i="66"/>
  <c r="AJ24" i="66"/>
  <c r="E6" i="65"/>
  <c r="G23" i="66"/>
  <c r="AJ49" i="66"/>
  <c r="G43" i="66"/>
  <c r="AJ7" i="66"/>
  <c r="AJ38" i="66"/>
  <c r="G46" i="66"/>
  <c r="G35" i="66"/>
  <c r="G28" i="66"/>
  <c r="G30" i="66"/>
  <c r="AJ9" i="69"/>
  <c r="AK16" i="70"/>
  <c r="AL39" i="70"/>
  <c r="G39" i="69"/>
  <c r="AJ56" i="66"/>
  <c r="AJ22" i="65"/>
  <c r="G25" i="66"/>
  <c r="G44" i="66"/>
  <c r="AJ24" i="68"/>
  <c r="AJ53" i="69"/>
  <c r="AJ30" i="68"/>
  <c r="AJ17" i="68"/>
  <c r="AJ41" i="68"/>
  <c r="AJ21" i="68"/>
  <c r="E32" i="70"/>
  <c r="G42" i="68"/>
  <c r="AL7" i="70"/>
  <c r="G38" i="68"/>
  <c r="AJ62" i="69"/>
  <c r="E7" i="70"/>
  <c r="AJ55" i="69"/>
  <c r="G15" i="66"/>
  <c r="AJ55" i="66"/>
  <c r="G61" i="66"/>
  <c r="G42" i="66"/>
  <c r="G18" i="66"/>
  <c r="AJ34" i="66"/>
  <c r="G33" i="66"/>
  <c r="G10" i="66"/>
  <c r="G51" i="66"/>
  <c r="AJ44" i="66"/>
  <c r="AJ32" i="66"/>
  <c r="AJ51" i="66"/>
  <c r="AJ65" i="66"/>
  <c r="G19" i="66"/>
  <c r="G37" i="69"/>
  <c r="AL29" i="70"/>
  <c r="AL36" i="70"/>
  <c r="AL16" i="70"/>
  <c r="AJ61" i="66"/>
  <c r="AJ20" i="65"/>
  <c r="AJ11" i="66"/>
  <c r="AJ41" i="65"/>
  <c r="AJ28" i="68"/>
  <c r="G54" i="69"/>
  <c r="AK29" i="70"/>
  <c r="AL26" i="70"/>
  <c r="G17" i="69"/>
  <c r="AJ14" i="69"/>
  <c r="AJ38" i="69"/>
  <c r="E53" i="70"/>
  <c r="AK10" i="69"/>
  <c r="AJ54" i="69"/>
  <c r="G19" i="68"/>
  <c r="AK32" i="70"/>
  <c r="AK38" i="70"/>
  <c r="AJ36" i="66"/>
  <c r="G21" i="66"/>
  <c r="AJ12" i="66"/>
  <c r="G29" i="66"/>
  <c r="AJ15" i="66"/>
  <c r="AJ54" i="66"/>
  <c r="G16" i="66"/>
  <c r="AJ48" i="66"/>
  <c r="AJ59" i="66"/>
  <c r="AJ25" i="69"/>
  <c r="AJ50" i="69"/>
  <c r="AK7" i="70"/>
  <c r="AJ58" i="69"/>
  <c r="AJ25" i="66"/>
  <c r="AJ13" i="66"/>
  <c r="AJ63" i="66"/>
  <c r="G7" i="66"/>
  <c r="AJ46" i="66"/>
  <c r="AU7" i="7"/>
  <c r="AK63" i="66" l="1"/>
  <c r="AM63" i="66" s="1"/>
  <c r="AL63" i="66"/>
  <c r="AK58" i="69"/>
  <c r="AM58" i="69" s="1"/>
  <c r="AL58" i="69"/>
  <c r="AM7" i="70"/>
  <c r="AK59" i="66"/>
  <c r="AM59" i="66" s="1"/>
  <c r="AL59" i="66"/>
  <c r="AM38" i="70"/>
  <c r="AM32" i="70"/>
  <c r="AM10" i="69"/>
  <c r="AH26" i="70"/>
  <c r="AG26" i="70"/>
  <c r="AM29" i="70"/>
  <c r="AG16" i="70"/>
  <c r="AH16" i="70"/>
  <c r="AG36" i="70"/>
  <c r="AH36" i="70"/>
  <c r="AH29" i="70"/>
  <c r="AG29" i="70"/>
  <c r="AK65" i="66"/>
  <c r="AM65" i="66" s="1"/>
  <c r="AL65" i="66"/>
  <c r="AL55" i="66"/>
  <c r="AK55" i="66"/>
  <c r="AM55" i="66" s="1"/>
  <c r="AK55" i="69"/>
  <c r="AM55" i="69" s="1"/>
  <c r="AL55" i="69"/>
  <c r="U10" i="70"/>
  <c r="V10" i="70" s="1"/>
  <c r="O10" i="70"/>
  <c r="R12" i="70"/>
  <c r="O12" i="70"/>
  <c r="R10" i="70"/>
  <c r="O8" i="70"/>
  <c r="U13" i="70"/>
  <c r="V13" i="70" s="1"/>
  <c r="R16" i="70" a="1"/>
  <c r="R16" i="70" s="1"/>
  <c r="R13" i="70"/>
  <c r="R11" i="70"/>
  <c r="O13" i="70"/>
  <c r="P13" i="70" s="1"/>
  <c r="O9" i="70"/>
  <c r="R8" i="70"/>
  <c r="U16" i="70" a="1"/>
  <c r="U16" i="70" s="1"/>
  <c r="O11" i="70"/>
  <c r="U9" i="70"/>
  <c r="V9" i="70" s="1"/>
  <c r="U8" i="70"/>
  <c r="V8" i="70" s="1"/>
  <c r="U11" i="70"/>
  <c r="V11" i="70" s="1"/>
  <c r="R9" i="70"/>
  <c r="U12" i="70"/>
  <c r="V12" i="70" s="1"/>
  <c r="O16" i="70" a="1"/>
  <c r="O16" i="70" s="1"/>
  <c r="AL62" i="69"/>
  <c r="AK62" i="69"/>
  <c r="AM62" i="69" s="1"/>
  <c r="AH7" i="70"/>
  <c r="AG7" i="70"/>
  <c r="AL56" i="66"/>
  <c r="AK56" i="66"/>
  <c r="AM56" i="66" s="1"/>
  <c r="AG39" i="70"/>
  <c r="AH39" i="70"/>
  <c r="AM16" i="70"/>
  <c r="AL58" i="66"/>
  <c r="AK58" i="66"/>
  <c r="AM58" i="66" s="1"/>
  <c r="AM19" i="70"/>
  <c r="AM27" i="70"/>
  <c r="AM14" i="70"/>
  <c r="AG33" i="70"/>
  <c r="AH33" i="70"/>
  <c r="AG34" i="70"/>
  <c r="AH34" i="70"/>
  <c r="AG45" i="70"/>
  <c r="AH45" i="70"/>
  <c r="AM40" i="70"/>
  <c r="AK66" i="68"/>
  <c r="AM66" i="68" s="1"/>
  <c r="AL66" i="68"/>
  <c r="AK60" i="69"/>
  <c r="AM60" i="69" s="1"/>
  <c r="AL60" i="69"/>
  <c r="AM51" i="70"/>
  <c r="AG11" i="70"/>
  <c r="AH11" i="70"/>
  <c r="AH21" i="70"/>
  <c r="AG21" i="70"/>
  <c r="AM17" i="70"/>
  <c r="AG46" i="70"/>
  <c r="AH46" i="70"/>
  <c r="AG20" i="70"/>
  <c r="AH20" i="70"/>
  <c r="AK65" i="68"/>
  <c r="AM65" i="68" s="1"/>
  <c r="AL65" i="68"/>
  <c r="AH51" i="70"/>
  <c r="AG51" i="70"/>
  <c r="AH23" i="70"/>
  <c r="AG23" i="70"/>
  <c r="AH42" i="70"/>
  <c r="AG42" i="70"/>
  <c r="AM47" i="70"/>
  <c r="AH7" i="69"/>
  <c r="AG7" i="69"/>
  <c r="AM50" i="70"/>
  <c r="AL65" i="69"/>
  <c r="AK65" i="69"/>
  <c r="AM65" i="69" s="1"/>
  <c r="AM49" i="70"/>
  <c r="AM31" i="70"/>
  <c r="AH48" i="70"/>
  <c r="AG48" i="70"/>
  <c r="AM34" i="70"/>
  <c r="AH38" i="70"/>
  <c r="AG38" i="70"/>
  <c r="AM53" i="70"/>
  <c r="AM21" i="70"/>
  <c r="AM18" i="70"/>
  <c r="AM36" i="70"/>
  <c r="AL58" i="68"/>
  <c r="AK58" i="68"/>
  <c r="AM58" i="68" s="1"/>
  <c r="AM23" i="70"/>
  <c r="AH44" i="70"/>
  <c r="AG44" i="70"/>
  <c r="AH19" i="70"/>
  <c r="AG19" i="70"/>
  <c r="AH61" i="70"/>
  <c r="AG61" i="70"/>
  <c r="AM35" i="70"/>
  <c r="AM9" i="70"/>
  <c r="AM13" i="70"/>
  <c r="AG47" i="70"/>
  <c r="AH47" i="70"/>
  <c r="AM45" i="70"/>
  <c r="AK64" i="69"/>
  <c r="AM64" i="69" s="1"/>
  <c r="AL64" i="69"/>
  <c r="AM28" i="70"/>
  <c r="AM52" i="70"/>
  <c r="AM26" i="70"/>
  <c r="AM44" i="70"/>
  <c r="AH40" i="70"/>
  <c r="AG40" i="70"/>
  <c r="AM20" i="70"/>
  <c r="AG50" i="70"/>
  <c r="AH50" i="70"/>
  <c r="AK57" i="68"/>
  <c r="AM57" i="68" s="1"/>
  <c r="AL57" i="68"/>
  <c r="AL67" i="68"/>
  <c r="AK67" i="68"/>
  <c r="AM67" i="68" s="1"/>
  <c r="AM48" i="70"/>
  <c r="AG49" i="70"/>
  <c r="AH49" i="70"/>
  <c r="AG41" i="70"/>
  <c r="AH41" i="70"/>
  <c r="AM24" i="70"/>
  <c r="AH28" i="70"/>
  <c r="AG28" i="70"/>
  <c r="AL63" i="69"/>
  <c r="AK63" i="69"/>
  <c r="AM63" i="69" s="1"/>
  <c r="AM39" i="70"/>
  <c r="AG43" i="70"/>
  <c r="AH43" i="70"/>
  <c r="AG17" i="70"/>
  <c r="AH17" i="70"/>
  <c r="AL59" i="69"/>
  <c r="AK59" i="69"/>
  <c r="AM59" i="69" s="1"/>
  <c r="AK63" i="68"/>
  <c r="AM63" i="68" s="1"/>
  <c r="AL63" i="68"/>
  <c r="AM37" i="70"/>
  <c r="AM41" i="70"/>
  <c r="AM46" i="70"/>
  <c r="AK62" i="68"/>
  <c r="AM62" i="68" s="1"/>
  <c r="AL62" i="68"/>
  <c r="AH9" i="70"/>
  <c r="AG9" i="70"/>
  <c r="AG15" i="70"/>
  <c r="AH15" i="70"/>
  <c r="AH24" i="70"/>
  <c r="AG24" i="70"/>
  <c r="AH13" i="70"/>
  <c r="AG13" i="70"/>
  <c r="AL67" i="66"/>
  <c r="AK67" i="66"/>
  <c r="AM67" i="66" s="1"/>
  <c r="AM42" i="70"/>
  <c r="AL66" i="69"/>
  <c r="AK66" i="69"/>
  <c r="AM66" i="69" s="1"/>
  <c r="AK56" i="69"/>
  <c r="AM56" i="69" s="1"/>
  <c r="AL56" i="69"/>
  <c r="AM7" i="69"/>
  <c r="AL60" i="66"/>
  <c r="AK60" i="66"/>
  <c r="AM60" i="66" s="1"/>
  <c r="AK62" i="66"/>
  <c r="AM62" i="66" s="1"/>
  <c r="AL62" i="66"/>
  <c r="AK66" i="66"/>
  <c r="AM66" i="66" s="1"/>
  <c r="AL66" i="66"/>
  <c r="AK57" i="66"/>
  <c r="AM57" i="66" s="1"/>
  <c r="AL57" i="66"/>
  <c r="AK64" i="66"/>
  <c r="AM64" i="66" s="1"/>
  <c r="AL64" i="66"/>
  <c r="AG53" i="70"/>
  <c r="AH53" i="70"/>
  <c r="AH32" i="70"/>
  <c r="AG32" i="70"/>
  <c r="AL64" i="68"/>
  <c r="AK64" i="68"/>
  <c r="AM64" i="68" s="1"/>
  <c r="AM25" i="70"/>
  <c r="AG35" i="70"/>
  <c r="AH35" i="70"/>
  <c r="AM43" i="70"/>
  <c r="AL67" i="69"/>
  <c r="AK67" i="69"/>
  <c r="AM67" i="69" s="1"/>
  <c r="AH52" i="70"/>
  <c r="AG52" i="70"/>
  <c r="AH10" i="69"/>
  <c r="AG10" i="69"/>
  <c r="AK57" i="69"/>
  <c r="AM57" i="69" s="1"/>
  <c r="AL57" i="69"/>
  <c r="AH18" i="70"/>
  <c r="AG18" i="70"/>
  <c r="AL60" i="68"/>
  <c r="AK60" i="68"/>
  <c r="AM60" i="68" s="1"/>
  <c r="AK56" i="68"/>
  <c r="AM56" i="68" s="1"/>
  <c r="AL56" i="68"/>
  <c r="AG37" i="70"/>
  <c r="AH37" i="70"/>
  <c r="AM15" i="70"/>
  <c r="AL55" i="68"/>
  <c r="AK55" i="68"/>
  <c r="AM55" i="68" s="1"/>
  <c r="AG31" i="70"/>
  <c r="AH31" i="70"/>
  <c r="AH22" i="70"/>
  <c r="AG22" i="70"/>
  <c r="AM61" i="70"/>
  <c r="AK59" i="68"/>
  <c r="AM59" i="68" s="1"/>
  <c r="AL59" i="68"/>
  <c r="AM22" i="70"/>
  <c r="AM54" i="70"/>
  <c r="AH25" i="70"/>
  <c r="AG25" i="70"/>
  <c r="AG14" i="70"/>
  <c r="AH14" i="70"/>
  <c r="AH27" i="70"/>
  <c r="AG27" i="70"/>
  <c r="AG54" i="70"/>
  <c r="AH54" i="70"/>
  <c r="AM11" i="70"/>
  <c r="AM33" i="70"/>
  <c r="AA8" i="70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Q7" i="7"/>
  <c r="BQ11" i="7"/>
  <c r="BQ21" i="7"/>
  <c r="BQ31" i="7"/>
  <c r="E7" i="66"/>
  <c r="AL25" i="69"/>
  <c r="AK54" i="66"/>
  <c r="E19" i="68"/>
  <c r="AL38" i="69"/>
  <c r="E17" i="69"/>
  <c r="E54" i="69"/>
  <c r="E18" i="66"/>
  <c r="E38" i="68"/>
  <c r="AK21" i="68"/>
  <c r="AL17" i="68"/>
  <c r="AK53" i="69"/>
  <c r="E28" i="66"/>
  <c r="AL23" i="69"/>
  <c r="AK22" i="68"/>
  <c r="AK21" i="69"/>
  <c r="AL44" i="69"/>
  <c r="E48" i="68"/>
  <c r="E28" i="69"/>
  <c r="AK35" i="68"/>
  <c r="AK16" i="69"/>
  <c r="AK52" i="68"/>
  <c r="AK40" i="66"/>
  <c r="E30" i="68"/>
  <c r="E49" i="69"/>
  <c r="E49" i="68"/>
  <c r="AL23" i="68"/>
  <c r="AK31" i="69"/>
  <c r="E13" i="68"/>
  <c r="AK16" i="68"/>
  <c r="AL61" i="68"/>
  <c r="E50" i="69"/>
  <c r="AL13" i="68"/>
  <c r="AK29" i="68"/>
  <c r="AK40" i="68"/>
  <c r="AK27" i="69"/>
  <c r="AK36" i="69"/>
  <c r="E12" i="69"/>
  <c r="E24" i="68"/>
  <c r="AK38" i="68"/>
  <c r="AL15" i="68"/>
  <c r="AL45" i="69"/>
  <c r="AL18" i="68"/>
  <c r="E25" i="69"/>
  <c r="E33" i="68"/>
  <c r="AK27" i="68"/>
  <c r="E32" i="68"/>
  <c r="E47" i="68"/>
  <c r="AL54" i="68"/>
  <c r="E41" i="69"/>
  <c r="AL8" i="68"/>
  <c r="E51" i="68"/>
  <c r="AK31" i="68"/>
  <c r="E22" i="68"/>
  <c r="E53" i="68"/>
  <c r="E32" i="66"/>
  <c r="E39" i="68"/>
  <c r="AK47" i="69"/>
  <c r="AK20" i="69"/>
  <c r="AL26" i="68"/>
  <c r="E61" i="69"/>
  <c r="E43" i="69"/>
  <c r="AK37" i="69"/>
  <c r="AK49" i="69"/>
  <c r="AK32" i="68"/>
  <c r="AL28" i="69"/>
  <c r="AL42" i="69"/>
  <c r="AL11" i="69"/>
  <c r="AL33" i="68"/>
  <c r="AK14" i="68"/>
  <c r="AL39" i="69"/>
  <c r="AL51" i="68"/>
  <c r="E7" i="69"/>
  <c r="AL30" i="68"/>
  <c r="AK23" i="69"/>
  <c r="AL16" i="69"/>
  <c r="AL40" i="66"/>
  <c r="AL22" i="69"/>
  <c r="AK18" i="69"/>
  <c r="AL9" i="68"/>
  <c r="AK53" i="68"/>
  <c r="AK36" i="68"/>
  <c r="E7" i="68"/>
  <c r="E24" i="66"/>
  <c r="AL20" i="69"/>
  <c r="E10" i="68"/>
  <c r="AL24" i="69"/>
  <c r="AK51" i="68"/>
  <c r="AK25" i="69"/>
  <c r="AL54" i="66"/>
  <c r="AK54" i="69"/>
  <c r="AK38" i="69"/>
  <c r="AK28" i="68"/>
  <c r="E37" i="69"/>
  <c r="AL21" i="68"/>
  <c r="AK17" i="68"/>
  <c r="AL53" i="69"/>
  <c r="E33" i="69"/>
  <c r="AL22" i="68"/>
  <c r="AL52" i="69"/>
  <c r="AL21" i="69"/>
  <c r="AL34" i="68"/>
  <c r="E53" i="69"/>
  <c r="E46" i="69"/>
  <c r="E19" i="69"/>
  <c r="E15" i="68"/>
  <c r="AL29" i="69"/>
  <c r="E26" i="68"/>
  <c r="E52" i="69"/>
  <c r="E40" i="69"/>
  <c r="E12" i="68"/>
  <c r="E8" i="68"/>
  <c r="E18" i="69"/>
  <c r="E24" i="69"/>
  <c r="E40" i="68"/>
  <c r="E16" i="69"/>
  <c r="AL31" i="69"/>
  <c r="AL16" i="68"/>
  <c r="AL10" i="68"/>
  <c r="AK19" i="69"/>
  <c r="AL12" i="69"/>
  <c r="AK42" i="68"/>
  <c r="AL46" i="69"/>
  <c r="AK12" i="68"/>
  <c r="AK39" i="68"/>
  <c r="E23" i="68"/>
  <c r="AL38" i="68"/>
  <c r="AK15" i="68"/>
  <c r="AK45" i="69"/>
  <c r="AK18" i="68"/>
  <c r="E43" i="68"/>
  <c r="E44" i="68"/>
  <c r="AL26" i="69"/>
  <c r="AL27" i="68"/>
  <c r="E17" i="68"/>
  <c r="AL25" i="68"/>
  <c r="AL30" i="69"/>
  <c r="E27" i="68"/>
  <c r="AK8" i="68"/>
  <c r="AK20" i="68"/>
  <c r="E9" i="69"/>
  <c r="AK61" i="69"/>
  <c r="AK37" i="68"/>
  <c r="E54" i="66"/>
  <c r="E47" i="69"/>
  <c r="E44" i="69"/>
  <c r="E16" i="68"/>
  <c r="AL15" i="69"/>
  <c r="AL37" i="69"/>
  <c r="AL49" i="69"/>
  <c r="E34" i="69"/>
  <c r="AL32" i="68"/>
  <c r="E28" i="68"/>
  <c r="AK11" i="68"/>
  <c r="AK11" i="69"/>
  <c r="E9" i="68"/>
  <c r="AL8" i="69"/>
  <c r="AK41" i="69"/>
  <c r="E11" i="69"/>
  <c r="E42" i="68"/>
  <c r="AL41" i="68"/>
  <c r="AK24" i="68"/>
  <c r="AK9" i="69"/>
  <c r="AK32" i="69"/>
  <c r="E36" i="69"/>
  <c r="E22" i="66"/>
  <c r="AL48" i="69"/>
  <c r="E20" i="68"/>
  <c r="E26" i="66"/>
  <c r="AL43" i="69"/>
  <c r="AK13" i="69"/>
  <c r="AK13" i="68"/>
  <c r="AL40" i="68"/>
  <c r="AL27" i="69"/>
  <c r="AL36" i="69"/>
  <c r="E42" i="69"/>
  <c r="E29" i="68"/>
  <c r="E22" i="69"/>
  <c r="E45" i="68"/>
  <c r="AK35" i="69"/>
  <c r="AK49" i="68"/>
  <c r="E31" i="68"/>
  <c r="AL7" i="68"/>
  <c r="AK42" i="69"/>
  <c r="AK33" i="68"/>
  <c r="AL14" i="68"/>
  <c r="AL44" i="68"/>
  <c r="AL50" i="69"/>
  <c r="AL54" i="69"/>
  <c r="AK14" i="69"/>
  <c r="AL28" i="68"/>
  <c r="AK41" i="68"/>
  <c r="AK30" i="68"/>
  <c r="AL24" i="68"/>
  <c r="E39" i="69"/>
  <c r="AL9" i="69"/>
  <c r="AL32" i="69"/>
  <c r="AK34" i="69"/>
  <c r="E11" i="68"/>
  <c r="AK52" i="69"/>
  <c r="E35" i="68"/>
  <c r="AK34" i="68"/>
  <c r="AL45" i="68"/>
  <c r="E29" i="69"/>
  <c r="AK48" i="69"/>
  <c r="E25" i="68"/>
  <c r="AK29" i="69"/>
  <c r="AK43" i="69"/>
  <c r="E48" i="69"/>
  <c r="E21" i="69"/>
  <c r="AK48" i="68"/>
  <c r="AK50" i="68"/>
  <c r="AL43" i="68"/>
  <c r="E35" i="69"/>
  <c r="AL13" i="69"/>
  <c r="E36" i="68"/>
  <c r="AL17" i="69"/>
  <c r="AK10" i="68"/>
  <c r="AL19" i="69"/>
  <c r="AL51" i="69"/>
  <c r="AK12" i="69"/>
  <c r="AL42" i="68"/>
  <c r="AK46" i="69"/>
  <c r="AL12" i="68"/>
  <c r="E9" i="66"/>
  <c r="AL39" i="68"/>
  <c r="AK22" i="69"/>
  <c r="E10" i="69"/>
  <c r="AL19" i="68"/>
  <c r="E30" i="69"/>
  <c r="AL18" i="69"/>
  <c r="AK9" i="68"/>
  <c r="AL53" i="68"/>
  <c r="E54" i="68"/>
  <c r="AK26" i="69"/>
  <c r="E8" i="69"/>
  <c r="AL36" i="68"/>
  <c r="AK33" i="69"/>
  <c r="E13" i="69"/>
  <c r="AK25" i="68"/>
  <c r="AK30" i="69"/>
  <c r="E61" i="68"/>
  <c r="AK46" i="68"/>
  <c r="AL35" i="69"/>
  <c r="AL20" i="68"/>
  <c r="AL49" i="68"/>
  <c r="AL61" i="69"/>
  <c r="AL37" i="68"/>
  <c r="E45" i="69"/>
  <c r="AL40" i="69"/>
  <c r="AK47" i="68"/>
  <c r="AK15" i="69"/>
  <c r="E37" i="68"/>
  <c r="AK24" i="69"/>
  <c r="E51" i="69"/>
  <c r="AK7" i="68"/>
  <c r="E52" i="68"/>
  <c r="E46" i="68"/>
  <c r="E41" i="68"/>
  <c r="AL11" i="68"/>
  <c r="E14" i="68"/>
  <c r="E32" i="69"/>
  <c r="E34" i="68"/>
  <c r="AK8" i="69"/>
  <c r="AL41" i="69"/>
  <c r="AK44" i="68"/>
  <c r="AK50" i="69"/>
  <c r="AL14" i="69"/>
  <c r="AL34" i="69"/>
  <c r="AK44" i="69"/>
  <c r="AK45" i="68"/>
  <c r="AL35" i="68"/>
  <c r="AL52" i="68"/>
  <c r="AL48" i="68"/>
  <c r="AL50" i="68"/>
  <c r="AK43" i="68"/>
  <c r="AK23" i="68"/>
  <c r="E50" i="68"/>
  <c r="AK17" i="69"/>
  <c r="AK61" i="68"/>
  <c r="AK51" i="69"/>
  <c r="AL29" i="68"/>
  <c r="E8" i="66"/>
  <c r="E20" i="69"/>
  <c r="AK19" i="68"/>
  <c r="AL33" i="69"/>
  <c r="AK54" i="68"/>
  <c r="AL46" i="68"/>
  <c r="AL31" i="68"/>
  <c r="E18" i="68"/>
  <c r="AL47" i="69"/>
  <c r="AK26" i="68"/>
  <c r="AK40" i="69"/>
  <c r="AL47" i="68"/>
  <c r="E21" i="68"/>
  <c r="AK28" i="69"/>
  <c r="AK39" i="69"/>
  <c r="E14" i="69"/>
  <c r="AA12" i="70" l="1"/>
  <c r="AA9" i="70"/>
  <c r="AA11" i="70"/>
  <c r="O14" i="70"/>
  <c r="P10" i="70" s="1"/>
  <c r="AM39" i="69"/>
  <c r="AM28" i="69"/>
  <c r="AH47" i="68"/>
  <c r="AG47" i="68"/>
  <c r="AM40" i="69"/>
  <c r="AM26" i="68"/>
  <c r="AG47" i="69"/>
  <c r="AH47" i="69"/>
  <c r="AG31" i="68"/>
  <c r="AH31" i="68"/>
  <c r="AG46" i="68"/>
  <c r="AH46" i="68"/>
  <c r="AM54" i="68"/>
  <c r="AG33" i="69"/>
  <c r="AH33" i="69"/>
  <c r="AM19" i="68"/>
  <c r="AH29" i="68"/>
  <c r="AG29" i="68"/>
  <c r="AM51" i="69"/>
  <c r="AM61" i="68"/>
  <c r="AM17" i="69"/>
  <c r="AM23" i="68"/>
  <c r="AM43" i="68"/>
  <c r="AH50" i="68"/>
  <c r="AG50" i="68"/>
  <c r="AG48" i="68"/>
  <c r="AH48" i="68"/>
  <c r="AH52" i="68"/>
  <c r="AG52" i="68"/>
  <c r="AH35" i="68"/>
  <c r="AG35" i="68"/>
  <c r="AM45" i="68"/>
  <c r="AM44" i="69"/>
  <c r="AH34" i="69"/>
  <c r="AG34" i="69"/>
  <c r="AH14" i="69"/>
  <c r="AG14" i="69"/>
  <c r="AM50" i="69"/>
  <c r="AM44" i="68"/>
  <c r="AH41" i="69"/>
  <c r="AG41" i="69"/>
  <c r="AM8" i="69"/>
  <c r="AG11" i="68"/>
  <c r="AH11" i="68"/>
  <c r="AM7" i="68"/>
  <c r="AM24" i="69"/>
  <c r="AM15" i="69"/>
  <c r="AM47" i="68"/>
  <c r="AG40" i="69"/>
  <c r="AH40" i="69"/>
  <c r="AH37" i="68"/>
  <c r="AG37" i="68"/>
  <c r="AG61" i="69"/>
  <c r="AH61" i="69"/>
  <c r="AG49" i="68"/>
  <c r="AH49" i="68"/>
  <c r="AG20" i="68"/>
  <c r="AH20" i="68"/>
  <c r="AG35" i="69"/>
  <c r="AH35" i="69"/>
  <c r="AM46" i="68"/>
  <c r="AM30" i="69"/>
  <c r="AM25" i="68"/>
  <c r="AM33" i="69"/>
  <c r="AH36" i="68"/>
  <c r="AG36" i="68"/>
  <c r="AM26" i="69"/>
  <c r="AH53" i="68"/>
  <c r="AG53" i="68"/>
  <c r="AM9" i="68"/>
  <c r="AH18" i="69"/>
  <c r="AG18" i="69"/>
  <c r="AG19" i="68"/>
  <c r="AH19" i="68"/>
  <c r="AM22" i="69"/>
  <c r="AH39" i="68"/>
  <c r="AG39" i="68"/>
  <c r="AG12" i="68"/>
  <c r="AH12" i="68"/>
  <c r="AM46" i="69"/>
  <c r="AG42" i="68"/>
  <c r="AH42" i="68"/>
  <c r="AM12" i="69"/>
  <c r="AH51" i="69"/>
  <c r="AG51" i="69"/>
  <c r="AH19" i="69"/>
  <c r="AG19" i="69"/>
  <c r="AM10" i="68"/>
  <c r="AH17" i="69"/>
  <c r="AG17" i="69"/>
  <c r="AG13" i="69"/>
  <c r="AH13" i="69"/>
  <c r="AH43" i="68"/>
  <c r="AG43" i="68"/>
  <c r="AM50" i="68"/>
  <c r="AM48" i="68"/>
  <c r="AM43" i="69"/>
  <c r="AM29" i="69"/>
  <c r="AM48" i="69"/>
  <c r="AH45" i="68"/>
  <c r="AG45" i="68"/>
  <c r="AM34" i="68"/>
  <c r="AM52" i="69"/>
  <c r="AM34" i="69"/>
  <c r="AG32" i="69"/>
  <c r="AH32" i="69"/>
  <c r="AG9" i="69"/>
  <c r="AH9" i="69"/>
  <c r="AH24" i="68"/>
  <c r="AG24" i="68"/>
  <c r="AM30" i="68"/>
  <c r="AM41" i="68"/>
  <c r="AG28" i="68"/>
  <c r="AH28" i="68"/>
  <c r="AM14" i="69"/>
  <c r="AG54" i="69"/>
  <c r="AH54" i="69"/>
  <c r="AG50" i="69"/>
  <c r="AH50" i="69"/>
  <c r="AG44" i="68"/>
  <c r="AH44" i="68"/>
  <c r="AH14" i="68"/>
  <c r="AG14" i="68"/>
  <c r="AM33" i="68"/>
  <c r="AM42" i="69"/>
  <c r="AG7" i="68"/>
  <c r="AH7" i="68"/>
  <c r="AM49" i="68"/>
  <c r="AM35" i="69"/>
  <c r="AG36" i="69"/>
  <c r="AH36" i="69"/>
  <c r="AH27" i="69"/>
  <c r="AG27" i="69"/>
  <c r="AH40" i="68"/>
  <c r="AG40" i="68"/>
  <c r="AM13" i="68"/>
  <c r="AM13" i="69"/>
  <c r="AH43" i="69"/>
  <c r="AG43" i="69"/>
  <c r="AH48" i="69"/>
  <c r="AG48" i="69"/>
  <c r="AM32" i="69"/>
  <c r="AM9" i="69"/>
  <c r="AM24" i="68"/>
  <c r="AG41" i="68"/>
  <c r="AH41" i="68"/>
  <c r="AM41" i="69"/>
  <c r="AH8" i="69"/>
  <c r="AG8" i="69"/>
  <c r="AM11" i="69"/>
  <c r="AM11" i="68"/>
  <c r="AG32" i="68"/>
  <c r="AH32" i="68"/>
  <c r="AH49" i="69"/>
  <c r="AG49" i="69"/>
  <c r="AH37" i="69"/>
  <c r="AG37" i="69"/>
  <c r="AG15" i="69"/>
  <c r="AH15" i="69"/>
  <c r="AM37" i="68"/>
  <c r="AM61" i="69"/>
  <c r="AM20" i="68"/>
  <c r="AM8" i="68"/>
  <c r="AH30" i="69"/>
  <c r="AG30" i="69"/>
  <c r="AH25" i="68"/>
  <c r="AG25" i="68"/>
  <c r="AH27" i="68"/>
  <c r="AG27" i="68"/>
  <c r="AH26" i="69"/>
  <c r="AG26" i="69"/>
  <c r="AM18" i="68"/>
  <c r="AM45" i="69"/>
  <c r="AM15" i="68"/>
  <c r="AH38" i="68"/>
  <c r="AG38" i="68"/>
  <c r="AM39" i="68"/>
  <c r="AM12" i="68"/>
  <c r="AH46" i="69"/>
  <c r="AG46" i="69"/>
  <c r="AM42" i="68"/>
  <c r="AH12" i="69"/>
  <c r="AG12" i="69"/>
  <c r="AM19" i="69"/>
  <c r="AH10" i="68"/>
  <c r="AG10" i="68"/>
  <c r="AH16" i="68"/>
  <c r="AG16" i="68"/>
  <c r="AH31" i="69"/>
  <c r="AG31" i="69"/>
  <c r="AH29" i="69"/>
  <c r="AG29" i="69"/>
  <c r="AH34" i="68"/>
  <c r="AG34" i="68"/>
  <c r="AG21" i="69"/>
  <c r="AH21" i="69"/>
  <c r="AH52" i="69"/>
  <c r="AG52" i="69"/>
  <c r="AG22" i="68"/>
  <c r="AH22" i="68"/>
  <c r="AH53" i="69"/>
  <c r="AG53" i="69"/>
  <c r="AM17" i="68"/>
  <c r="AH21" i="68"/>
  <c r="AG21" i="68"/>
  <c r="AM28" i="68"/>
  <c r="AM38" i="69"/>
  <c r="AM54" i="69"/>
  <c r="AH54" i="66"/>
  <c r="AG54" i="66"/>
  <c r="AM25" i="69"/>
  <c r="AM51" i="68"/>
  <c r="AH24" i="69"/>
  <c r="AG24" i="69"/>
  <c r="AG20" i="69"/>
  <c r="AH20" i="69"/>
  <c r="R12" i="68"/>
  <c r="U9" i="68"/>
  <c r="V9" i="68" s="1"/>
  <c r="R13" i="68"/>
  <c r="U10" i="68"/>
  <c r="V10" i="68" s="1"/>
  <c r="O10" i="68"/>
  <c r="R9" i="68"/>
  <c r="O12" i="68"/>
  <c r="R8" i="68"/>
  <c r="R10" i="68"/>
  <c r="O13" i="68"/>
  <c r="P13" i="68" s="1"/>
  <c r="R16" i="68" a="1"/>
  <c r="R16" i="68" s="1"/>
  <c r="O16" i="68" a="1"/>
  <c r="O16" i="68" s="1"/>
  <c r="U11" i="68"/>
  <c r="V11" i="68" s="1"/>
  <c r="O8" i="68"/>
  <c r="U8" i="68"/>
  <c r="V8" i="68" s="1"/>
  <c r="O9" i="68"/>
  <c r="AA9" i="68" s="1"/>
  <c r="U16" i="68" a="1"/>
  <c r="U16" i="68" s="1"/>
  <c r="O11" i="68"/>
  <c r="R11" i="68"/>
  <c r="U13" i="68"/>
  <c r="V13" i="68" s="1"/>
  <c r="U12" i="68"/>
  <c r="V12" i="68" s="1"/>
  <c r="AM36" i="68"/>
  <c r="AM53" i="68"/>
  <c r="AH9" i="68"/>
  <c r="AG9" i="68"/>
  <c r="AM18" i="69"/>
  <c r="AH22" i="69"/>
  <c r="AG22" i="69"/>
  <c r="AG40" i="66"/>
  <c r="AH40" i="66"/>
  <c r="AH16" i="69"/>
  <c r="AG16" i="69"/>
  <c r="AM23" i="69"/>
  <c r="AH30" i="68"/>
  <c r="AG30" i="68"/>
  <c r="R9" i="69"/>
  <c r="O13" i="69"/>
  <c r="P13" i="69" s="1"/>
  <c r="U16" i="69" a="1"/>
  <c r="U16" i="69" s="1"/>
  <c r="U12" i="69"/>
  <c r="V12" i="69" s="1"/>
  <c r="U9" i="69"/>
  <c r="V9" i="69" s="1"/>
  <c r="R8" i="69"/>
  <c r="R12" i="69"/>
  <c r="U11" i="69"/>
  <c r="V11" i="69" s="1"/>
  <c r="O8" i="69"/>
  <c r="O16" i="69" a="1"/>
  <c r="O16" i="69" s="1"/>
  <c r="R10" i="69"/>
  <c r="U13" i="69"/>
  <c r="V13" i="69" s="1"/>
  <c r="R16" i="69" a="1"/>
  <c r="R16" i="69" s="1"/>
  <c r="O10" i="69"/>
  <c r="R13" i="69"/>
  <c r="O12" i="69"/>
  <c r="U10" i="69"/>
  <c r="V10" i="69" s="1"/>
  <c r="O11" i="69"/>
  <c r="R11" i="69"/>
  <c r="O9" i="69"/>
  <c r="U8" i="69"/>
  <c r="V8" i="69" s="1"/>
  <c r="AH51" i="68"/>
  <c r="AG51" i="68"/>
  <c r="AH39" i="69"/>
  <c r="AG39" i="69"/>
  <c r="AM14" i="68"/>
  <c r="AH33" i="68"/>
  <c r="AG33" i="68"/>
  <c r="AH11" i="69"/>
  <c r="AG11" i="69"/>
  <c r="AH42" i="69"/>
  <c r="AG42" i="69"/>
  <c r="AG28" i="69"/>
  <c r="AH28" i="69"/>
  <c r="AM32" i="68"/>
  <c r="AM49" i="69"/>
  <c r="AM37" i="69"/>
  <c r="AG26" i="68"/>
  <c r="AH26" i="68"/>
  <c r="AM20" i="69"/>
  <c r="AM47" i="69"/>
  <c r="AM31" i="68"/>
  <c r="AH8" i="68"/>
  <c r="AG8" i="68"/>
  <c r="AH54" i="68"/>
  <c r="AG54" i="68"/>
  <c r="AM27" i="68"/>
  <c r="AG18" i="68"/>
  <c r="AH18" i="68"/>
  <c r="AH45" i="69"/>
  <c r="AG45" i="69"/>
  <c r="AG15" i="68"/>
  <c r="AH15" i="68"/>
  <c r="AM38" i="68"/>
  <c r="AM36" i="69"/>
  <c r="AM27" i="69"/>
  <c r="AM40" i="68"/>
  <c r="AM29" i="68"/>
  <c r="AH13" i="68"/>
  <c r="AG13" i="68"/>
  <c r="AH61" i="68"/>
  <c r="AG61" i="68"/>
  <c r="AM16" i="68"/>
  <c r="AM31" i="69"/>
  <c r="AH23" i="68"/>
  <c r="AG23" i="68"/>
  <c r="AM40" i="66"/>
  <c r="AM52" i="68"/>
  <c r="AM16" i="69"/>
  <c r="AM35" i="68"/>
  <c r="AH44" i="69"/>
  <c r="AG44" i="69"/>
  <c r="AM21" i="69"/>
  <c r="AM22" i="68"/>
  <c r="AG23" i="69"/>
  <c r="AH23" i="69"/>
  <c r="AM53" i="69"/>
  <c r="AH17" i="68"/>
  <c r="AG17" i="68"/>
  <c r="AM21" i="68"/>
  <c r="AG38" i="69"/>
  <c r="AH38" i="69"/>
  <c r="AM54" i="66"/>
  <c r="AG25" i="69"/>
  <c r="AH25" i="69"/>
  <c r="AA10" i="70"/>
  <c r="U14" i="70"/>
  <c r="U5" i="70" s="1"/>
  <c r="R14" i="70"/>
  <c r="S12" i="70" s="1"/>
  <c r="AA13" i="70"/>
  <c r="P14" i="70"/>
  <c r="O5" i="70"/>
  <c r="P9" i="70"/>
  <c r="V14" i="70"/>
  <c r="S9" i="70"/>
  <c r="AA9" i="69"/>
  <c r="AA12" i="69"/>
  <c r="BD30" i="81"/>
  <c r="BC31" i="81"/>
  <c r="AA10" i="68"/>
  <c r="BI29" i="81"/>
  <c r="BH29" i="81"/>
  <c r="BG29" i="81"/>
  <c r="BF29" i="81"/>
  <c r="AA13" i="68"/>
  <c r="AA11" i="68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I52" i="5" s="1"/>
  <c r="Q13" i="9" s="1"/>
  <c r="BH46" i="5"/>
  <c r="BH52" i="5" s="1"/>
  <c r="BG46" i="5"/>
  <c r="BG52" i="5" s="1"/>
  <c r="BF46" i="5"/>
  <c r="BF52" i="5" s="1"/>
  <c r="BI45" i="5"/>
  <c r="BH45" i="5"/>
  <c r="BG45" i="5"/>
  <c r="BF45" i="5"/>
  <c r="BI44" i="5"/>
  <c r="BI51" i="5" s="1"/>
  <c r="Q12" i="9" s="1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I50" i="5" s="1"/>
  <c r="Q11" i="9" s="1"/>
  <c r="Q14" i="9" s="1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A12" i="68" l="1"/>
  <c r="P8" i="70"/>
  <c r="P12" i="70"/>
  <c r="AA13" i="69"/>
  <c r="R14" i="69"/>
  <c r="S12" i="69" s="1"/>
  <c r="AA8" i="68"/>
  <c r="R14" i="68"/>
  <c r="S8" i="68" s="1"/>
  <c r="O14" i="68"/>
  <c r="P11" i="68" s="1"/>
  <c r="AA14" i="70"/>
  <c r="AA11" i="69"/>
  <c r="AA10" i="69"/>
  <c r="U14" i="68"/>
  <c r="U5" i="68" s="1"/>
  <c r="P11" i="70"/>
  <c r="S14" i="70"/>
  <c r="S8" i="70"/>
  <c r="S10" i="70"/>
  <c r="S11" i="70"/>
  <c r="S13" i="70"/>
  <c r="U14" i="69"/>
  <c r="V14" i="69" s="1"/>
  <c r="AA8" i="69"/>
  <c r="O14" i="69"/>
  <c r="P10" i="69" s="1"/>
  <c r="R5" i="70"/>
  <c r="S11" i="69"/>
  <c r="S9" i="69"/>
  <c r="S10" i="69"/>
  <c r="S14" i="69"/>
  <c r="R5" i="69"/>
  <c r="S8" i="69"/>
  <c r="AA14" i="68"/>
  <c r="S14" i="68"/>
  <c r="S10" i="68"/>
  <c r="R5" i="68"/>
  <c r="S12" i="68"/>
  <c r="P12" i="69"/>
  <c r="P8" i="69"/>
  <c r="P9" i="69"/>
  <c r="S9" i="68"/>
  <c r="S11" i="68"/>
  <c r="S13" i="68"/>
  <c r="BF30" i="81"/>
  <c r="BI30" i="81"/>
  <c r="BH30" i="81"/>
  <c r="BG30" i="81"/>
  <c r="BC32" i="81"/>
  <c r="BD31" i="81"/>
  <c r="U5" i="69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AA14" i="69" l="1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J4" i="58"/>
  <c r="AJ2" i="58" s="1"/>
  <c r="G3" i="58"/>
  <c r="AL2" i="58"/>
  <c r="AK2" i="58"/>
  <c r="E2" i="58"/>
  <c r="E3" i="58" s="1"/>
  <c r="A1" i="58"/>
  <c r="G57" i="60"/>
  <c r="BH32" i="81" l="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E58" i="5" s="1"/>
  <c r="BD56" i="5"/>
  <c r="BD58" i="5" s="1"/>
  <c r="BC56" i="5"/>
  <c r="BC58" i="5" s="1"/>
  <c r="BB56" i="5"/>
  <c r="BE47" i="5"/>
  <c r="BD47" i="5"/>
  <c r="BC47" i="5"/>
  <c r="BB47" i="5"/>
  <c r="BE46" i="5"/>
  <c r="BE52" i="5" s="1"/>
  <c r="P13" i="9" s="1"/>
  <c r="BD46" i="5"/>
  <c r="BD52" i="5" s="1"/>
  <c r="BC46" i="5"/>
  <c r="BC52" i="5" s="1"/>
  <c r="BB46" i="5"/>
  <c r="BB52" i="5" s="1"/>
  <c r="BE45" i="5"/>
  <c r="BD45" i="5"/>
  <c r="BC45" i="5"/>
  <c r="BB45" i="5"/>
  <c r="BE44" i="5"/>
  <c r="BE51" i="5" s="1"/>
  <c r="P12" i="9" s="1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E50" i="5" s="1"/>
  <c r="P11" i="9" s="1"/>
  <c r="BD42" i="5"/>
  <c r="BD50" i="5" s="1"/>
  <c r="BC42" i="5"/>
  <c r="BC50" i="5" s="1"/>
  <c r="BB42" i="5"/>
  <c r="BB50" i="5" s="1"/>
  <c r="BE40" i="5"/>
  <c r="BD40" i="5"/>
  <c r="BC40" i="5"/>
  <c r="BB40" i="5"/>
  <c r="BW31" i="7"/>
  <c r="BW21" i="7"/>
  <c r="BW11" i="7"/>
  <c r="BW7" i="7"/>
  <c r="BD34" i="81" l="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P14" i="9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C36" i="81" l="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G35" i="81" l="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K4" i="57"/>
  <c r="AJ4" i="57"/>
  <c r="AJ2" i="57" s="1"/>
  <c r="G3" i="57"/>
  <c r="AL2" i="57"/>
  <c r="AK2" i="57"/>
  <c r="E2" i="57"/>
  <c r="E3" i="57" s="1"/>
  <c r="A1" i="57"/>
  <c r="BH36" i="81" l="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D38" i="81" l="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C40" i="81" l="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39" i="81" l="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H40" i="81" l="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43" i="81" l="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G44" i="61"/>
  <c r="G47" i="64"/>
  <c r="G11" i="61"/>
  <c r="G47" i="61"/>
  <c r="G21" i="57"/>
  <c r="G62" i="63"/>
  <c r="G29" i="57"/>
  <c r="G53" i="60"/>
  <c r="AJ54" i="57"/>
  <c r="G21" i="60"/>
  <c r="AJ35" i="60"/>
  <c r="G48" i="57"/>
  <c r="G31" i="58"/>
  <c r="AJ43" i="61"/>
  <c r="AJ64" i="58"/>
  <c r="AJ40" i="63"/>
  <c r="AL31" i="66"/>
  <c r="AJ38" i="65"/>
  <c r="AJ42" i="60"/>
  <c r="AJ27" i="60"/>
  <c r="G11" i="58"/>
  <c r="G42" i="61"/>
  <c r="G57" i="57"/>
  <c r="G61" i="61"/>
  <c r="AJ20" i="63"/>
  <c r="AL36" i="66"/>
  <c r="G9" i="58"/>
  <c r="AJ32" i="57"/>
  <c r="AJ67" i="61"/>
  <c r="G12" i="64"/>
  <c r="G42" i="57"/>
  <c r="AJ56" i="64"/>
  <c r="G26" i="57"/>
  <c r="AK47" i="66"/>
  <c r="G47" i="65"/>
  <c r="G8" i="64"/>
  <c r="AJ22" i="61"/>
  <c r="G15" i="65"/>
  <c r="AJ40" i="61"/>
  <c r="G43" i="58"/>
  <c r="G51" i="58"/>
  <c r="G7" i="58"/>
  <c r="AL8" i="66"/>
  <c r="AJ50" i="63"/>
  <c r="AK28" i="66"/>
  <c r="AJ42" i="58"/>
  <c r="E45" i="66"/>
  <c r="G16" i="63"/>
  <c r="G52" i="61"/>
  <c r="G43" i="64"/>
  <c r="AJ42" i="61"/>
  <c r="G30" i="61"/>
  <c r="E6" i="63"/>
  <c r="G37" i="65"/>
  <c r="AJ44" i="57"/>
  <c r="AJ8" i="61"/>
  <c r="AJ14" i="58"/>
  <c r="G15" i="61"/>
  <c r="AJ63" i="60"/>
  <c r="G45" i="57"/>
  <c r="G20" i="65"/>
  <c r="G28" i="61"/>
  <c r="AL28" i="66"/>
  <c r="G50" i="65"/>
  <c r="AK10" i="66"/>
  <c r="G8" i="65"/>
  <c r="AJ63" i="63"/>
  <c r="AJ59" i="63"/>
  <c r="AJ39" i="58"/>
  <c r="AJ37" i="64"/>
  <c r="G32" i="58"/>
  <c r="AJ26" i="61"/>
  <c r="G41" i="63"/>
  <c r="G10" i="61"/>
  <c r="AJ61" i="61"/>
  <c r="G61" i="60"/>
  <c r="AK19" i="66"/>
  <c r="G15" i="58"/>
  <c r="G42" i="63"/>
  <c r="E27" i="66"/>
  <c r="AJ57" i="57"/>
  <c r="AJ17" i="60"/>
  <c r="G52" i="57"/>
  <c r="AJ10" i="60"/>
  <c r="AJ13" i="57"/>
  <c r="AJ32" i="65"/>
  <c r="AJ58" i="58"/>
  <c r="AL13" i="66"/>
  <c r="G11" i="65"/>
  <c r="AJ41" i="61"/>
  <c r="AJ30" i="57"/>
  <c r="G31" i="61"/>
  <c r="G38" i="61"/>
  <c r="AJ31" i="64"/>
  <c r="AL39" i="66"/>
  <c r="G39" i="57"/>
  <c r="AJ22" i="58"/>
  <c r="G19" i="58"/>
  <c r="G23" i="60"/>
  <c r="G40" i="63"/>
  <c r="AK45" i="58"/>
  <c r="E46" i="66"/>
  <c r="E10" i="66"/>
  <c r="AL10" i="66"/>
  <c r="AJ21" i="57"/>
  <c r="G21" i="64"/>
  <c r="G27" i="64"/>
  <c r="AJ59" i="57"/>
  <c r="G28" i="64"/>
  <c r="AJ37" i="65"/>
  <c r="AJ23" i="58"/>
  <c r="G55" i="65"/>
  <c r="G48" i="63"/>
  <c r="AL61" i="66"/>
  <c r="E6" i="64"/>
  <c r="AJ35" i="65"/>
  <c r="AJ15" i="58"/>
  <c r="AJ57" i="60"/>
  <c r="AJ46" i="63"/>
  <c r="G12" i="58"/>
  <c r="AJ8" i="65"/>
  <c r="G13" i="63"/>
  <c r="G21" i="61"/>
  <c r="AJ17" i="58"/>
  <c r="AK17" i="65"/>
  <c r="AK39" i="66"/>
  <c r="G25" i="60"/>
  <c r="AJ51" i="61"/>
  <c r="G50" i="58"/>
  <c r="AJ38" i="63"/>
  <c r="G22" i="61"/>
  <c r="AJ28" i="63"/>
  <c r="E6" i="60"/>
  <c r="G20" i="60"/>
  <c r="G20" i="57"/>
  <c r="AJ61" i="64"/>
  <c r="AL7" i="66"/>
  <c r="E43" i="66"/>
  <c r="AJ63" i="65"/>
  <c r="AJ57" i="63"/>
  <c r="G45" i="65"/>
  <c r="AJ56" i="61"/>
  <c r="AJ33" i="60"/>
  <c r="AJ54" i="64"/>
  <c r="G23" i="57"/>
  <c r="AJ37" i="60"/>
  <c r="AK51" i="66"/>
  <c r="AJ39" i="63"/>
  <c r="G47" i="60"/>
  <c r="AL16" i="66"/>
  <c r="G55" i="57"/>
  <c r="AK18" i="66"/>
  <c r="AJ9" i="57"/>
  <c r="AJ22" i="64"/>
  <c r="AJ45" i="57"/>
  <c r="G17" i="60"/>
  <c r="AJ37" i="58"/>
  <c r="G53" i="65"/>
  <c r="AK23" i="66"/>
  <c r="G17" i="65"/>
  <c r="G10" i="64"/>
  <c r="G38" i="57"/>
  <c r="G43" i="57"/>
  <c r="G56" i="60"/>
  <c r="AK41" i="65"/>
  <c r="AJ25" i="61"/>
  <c r="AJ55" i="65"/>
  <c r="G34" i="65"/>
  <c r="AL27" i="66"/>
  <c r="AJ23" i="61"/>
  <c r="G16" i="58"/>
  <c r="AL24" i="65"/>
  <c r="AJ15" i="60"/>
  <c r="AL21" i="66"/>
  <c r="G18" i="63"/>
  <c r="G40" i="65"/>
  <c r="AL26" i="66"/>
  <c r="G33" i="57"/>
  <c r="G19" i="61"/>
  <c r="AJ36" i="61"/>
  <c r="AJ17" i="61"/>
  <c r="G12" i="61"/>
  <c r="G44" i="57"/>
  <c r="G23" i="65"/>
  <c r="G30" i="63"/>
  <c r="AJ54" i="65"/>
  <c r="AK16" i="66"/>
  <c r="AJ7" i="60"/>
  <c r="G38" i="63"/>
  <c r="AJ44" i="65"/>
  <c r="AJ16" i="61"/>
  <c r="G51" i="64"/>
  <c r="G14" i="63"/>
  <c r="AJ21" i="60"/>
  <c r="G26" i="64"/>
  <c r="AL50" i="66"/>
  <c r="AJ34" i="63"/>
  <c r="AJ14" i="60"/>
  <c r="G27" i="61"/>
  <c r="G16" i="60"/>
  <c r="AJ21" i="65"/>
  <c r="AJ14" i="61"/>
  <c r="G39" i="58"/>
  <c r="AJ62" i="60"/>
  <c r="AK52" i="66"/>
  <c r="AJ45" i="60"/>
  <c r="G35" i="65"/>
  <c r="G20" i="61"/>
  <c r="AJ33" i="57"/>
  <c r="AJ34" i="60"/>
  <c r="AK13" i="66"/>
  <c r="G10" i="60"/>
  <c r="AJ35" i="63"/>
  <c r="AJ30" i="64"/>
  <c r="AJ67" i="63"/>
  <c r="AK20" i="66"/>
  <c r="AK53" i="66"/>
  <c r="AJ9" i="64"/>
  <c r="G36" i="63"/>
  <c r="G21" i="65"/>
  <c r="G11" i="60"/>
  <c r="AJ45" i="65"/>
  <c r="AJ47" i="64"/>
  <c r="G33" i="60"/>
  <c r="G46" i="64"/>
  <c r="AK42" i="66"/>
  <c r="G18" i="60"/>
  <c r="AK9" i="66"/>
  <c r="G18" i="61"/>
  <c r="G14" i="57"/>
  <c r="G27" i="63"/>
  <c r="G48" i="65"/>
  <c r="G41" i="57"/>
  <c r="G49" i="57"/>
  <c r="G31" i="60"/>
  <c r="G27" i="65"/>
  <c r="G20" i="58"/>
  <c r="AJ43" i="57"/>
  <c r="G40" i="61"/>
  <c r="AJ12" i="65"/>
  <c r="AJ47" i="60"/>
  <c r="E35" i="66"/>
  <c r="AJ65" i="57"/>
  <c r="AJ41" i="57"/>
  <c r="E6" i="61"/>
  <c r="AJ23" i="65"/>
  <c r="G36" i="64"/>
  <c r="G62" i="58"/>
  <c r="AJ36" i="63"/>
  <c r="G34" i="61"/>
  <c r="E38" i="66"/>
  <c r="AJ27" i="61"/>
  <c r="AJ63" i="58"/>
  <c r="G24" i="61"/>
  <c r="G23" i="63"/>
  <c r="AJ60" i="58"/>
  <c r="G16" i="61"/>
  <c r="E31" i="66"/>
  <c r="AJ36" i="60"/>
  <c r="G39" i="63"/>
  <c r="G11" i="64"/>
  <c r="AJ35" i="61"/>
  <c r="AJ53" i="58"/>
  <c r="AJ47" i="61"/>
  <c r="G45" i="64"/>
  <c r="G15" i="60"/>
  <c r="AL53" i="66"/>
  <c r="AJ43" i="64"/>
  <c r="G54" i="60"/>
  <c r="AJ48" i="60"/>
  <c r="AJ53" i="63"/>
  <c r="AJ67" i="57"/>
  <c r="AJ51" i="57"/>
  <c r="G62" i="60"/>
  <c r="AJ12" i="61"/>
  <c r="AJ21" i="61"/>
  <c r="G49" i="64"/>
  <c r="G33" i="63"/>
  <c r="AL45" i="66"/>
  <c r="G46" i="60"/>
  <c r="G30" i="57"/>
  <c r="E11" i="66"/>
  <c r="AJ63" i="57"/>
  <c r="G17" i="57"/>
  <c r="AJ59" i="60"/>
  <c r="AJ43" i="65"/>
  <c r="AK46" i="66"/>
  <c r="G24" i="63"/>
  <c r="G11" i="57"/>
  <c r="AJ61" i="60"/>
  <c r="AL45" i="58"/>
  <c r="AJ48" i="64"/>
  <c r="G46" i="58"/>
  <c r="AJ53" i="65"/>
  <c r="AJ51" i="58"/>
  <c r="AJ65" i="58"/>
  <c r="AJ7" i="64"/>
  <c r="G41" i="58"/>
  <c r="G52" i="63"/>
  <c r="G12" i="57"/>
  <c r="AJ13" i="65"/>
  <c r="E53" i="66"/>
  <c r="G61" i="65"/>
  <c r="AJ40" i="58"/>
  <c r="AK21" i="66"/>
  <c r="AJ50" i="60"/>
  <c r="AJ48" i="63"/>
  <c r="G49" i="63"/>
  <c r="G50" i="57"/>
  <c r="AJ18" i="57"/>
  <c r="G46" i="65"/>
  <c r="G49" i="61"/>
  <c r="AJ46" i="65"/>
  <c r="AJ49" i="57"/>
  <c r="AJ42" i="64"/>
  <c r="G53" i="58"/>
  <c r="AJ38" i="58"/>
  <c r="AJ39" i="60"/>
  <c r="AL18" i="66"/>
  <c r="G44" i="60"/>
  <c r="AJ56" i="57"/>
  <c r="AJ54" i="60"/>
  <c r="E25" i="66"/>
  <c r="E34" i="66"/>
  <c r="AJ57" i="65"/>
  <c r="AJ40" i="65"/>
  <c r="G25" i="58"/>
  <c r="G36" i="65"/>
  <c r="AJ25" i="64"/>
  <c r="AJ25" i="57"/>
  <c r="G10" i="57"/>
  <c r="G7" i="63"/>
  <c r="AJ19" i="60"/>
  <c r="G41" i="65"/>
  <c r="G19" i="63"/>
  <c r="G22" i="57"/>
  <c r="G13" i="57"/>
  <c r="AJ7" i="63"/>
  <c r="G12" i="63"/>
  <c r="AL20" i="66"/>
  <c r="G41" i="61"/>
  <c r="AJ10" i="58"/>
  <c r="AL35" i="66"/>
  <c r="AJ38" i="60"/>
  <c r="AL14" i="66"/>
  <c r="E40" i="66"/>
  <c r="AJ26" i="60"/>
  <c r="G43" i="61"/>
  <c r="AJ31" i="57"/>
  <c r="AJ29" i="64"/>
  <c r="AJ56" i="58"/>
  <c r="G19" i="57"/>
  <c r="AJ50" i="65"/>
  <c r="G46" i="63"/>
  <c r="G42" i="65"/>
  <c r="G30" i="60"/>
  <c r="E29" i="66"/>
  <c r="G12" i="60"/>
  <c r="AJ30" i="58"/>
  <c r="AJ33" i="65"/>
  <c r="AJ55" i="61"/>
  <c r="AJ38" i="64"/>
  <c r="G33" i="64"/>
  <c r="E14" i="66"/>
  <c r="G44" i="65"/>
  <c r="AJ11" i="57"/>
  <c r="G17" i="63"/>
  <c r="AJ14" i="57"/>
  <c r="G22" i="65"/>
  <c r="G14" i="60"/>
  <c r="AJ16" i="65"/>
  <c r="AJ29" i="65"/>
  <c r="AJ36" i="57"/>
  <c r="G18" i="57"/>
  <c r="AJ66" i="60"/>
  <c r="G44" i="64"/>
  <c r="G45" i="58"/>
  <c r="AJ65" i="60"/>
  <c r="AL11" i="66"/>
  <c r="G38" i="64"/>
  <c r="AK12" i="66"/>
  <c r="G61" i="63"/>
  <c r="AJ20" i="60"/>
  <c r="AJ39" i="64"/>
  <c r="AJ65" i="64"/>
  <c r="AL23" i="66"/>
  <c r="AJ30" i="63"/>
  <c r="AJ43" i="63"/>
  <c r="G9" i="60"/>
  <c r="G12" i="65"/>
  <c r="AJ56" i="60"/>
  <c r="G17" i="64"/>
  <c r="AK7" i="66"/>
  <c r="AJ61" i="65"/>
  <c r="AJ66" i="65"/>
  <c r="AJ60" i="61"/>
  <c r="AJ8" i="63"/>
  <c r="G14" i="58"/>
  <c r="AJ52" i="57"/>
  <c r="G25" i="63"/>
  <c r="AJ33" i="61"/>
  <c r="G35" i="64"/>
  <c r="AJ14" i="64"/>
  <c r="G40" i="60"/>
  <c r="G19" i="64"/>
  <c r="AJ11" i="64"/>
  <c r="AK20" i="65"/>
  <c r="AK8" i="66"/>
  <c r="AJ51" i="64"/>
  <c r="AJ60" i="63"/>
  <c r="G53" i="57"/>
  <c r="G53" i="64"/>
  <c r="G25" i="57"/>
  <c r="AJ29" i="61"/>
  <c r="G57" i="58"/>
  <c r="G44" i="58"/>
  <c r="G27" i="60"/>
  <c r="G10" i="65"/>
  <c r="AJ12" i="60"/>
  <c r="G39" i="61"/>
  <c r="AK49" i="66"/>
  <c r="AJ39" i="65"/>
  <c r="G37" i="58"/>
  <c r="AJ45" i="61"/>
  <c r="G35" i="57"/>
  <c r="G34" i="57"/>
  <c r="G29" i="63"/>
  <c r="AJ16" i="60"/>
  <c r="AK45" i="66"/>
  <c r="G36" i="58"/>
  <c r="G31" i="57"/>
  <c r="AJ10" i="63"/>
  <c r="AJ40" i="60"/>
  <c r="G43" i="60"/>
  <c r="AJ21" i="64"/>
  <c r="AJ28" i="57"/>
  <c r="AJ9" i="58"/>
  <c r="G43" i="63"/>
  <c r="AJ65" i="61"/>
  <c r="G61" i="57"/>
  <c r="G25" i="64"/>
  <c r="AJ31" i="58"/>
  <c r="G22" i="58"/>
  <c r="AJ66" i="58"/>
  <c r="G45" i="61"/>
  <c r="E12" i="66"/>
  <c r="G13" i="64"/>
  <c r="AK31" i="66"/>
  <c r="AJ8" i="64"/>
  <c r="AL17" i="65"/>
  <c r="G28" i="63"/>
  <c r="G50" i="60"/>
  <c r="AJ37" i="61"/>
  <c r="E20" i="66"/>
  <c r="G8" i="57"/>
  <c r="AJ52" i="65"/>
  <c r="AJ54" i="63"/>
  <c r="AJ52" i="64"/>
  <c r="E41" i="66"/>
  <c r="AJ48" i="65"/>
  <c r="AJ21" i="58"/>
  <c r="G9" i="64"/>
  <c r="AK48" i="66"/>
  <c r="AJ52" i="58"/>
  <c r="G29" i="65"/>
  <c r="AK17" i="66"/>
  <c r="AJ66" i="64"/>
  <c r="E19" i="66"/>
  <c r="AK37" i="66"/>
  <c r="G10" i="63"/>
  <c r="AK32" i="66"/>
  <c r="AJ41" i="63"/>
  <c r="G29" i="58"/>
  <c r="G23" i="64"/>
  <c r="G7" i="57"/>
  <c r="AJ51" i="60"/>
  <c r="AJ44" i="60"/>
  <c r="G39" i="65"/>
  <c r="AJ44" i="64"/>
  <c r="AJ37" i="57"/>
  <c r="AJ50" i="58"/>
  <c r="G16" i="65"/>
  <c r="AJ58" i="65"/>
  <c r="AJ41" i="58"/>
  <c r="AJ20" i="61"/>
  <c r="E23" i="66"/>
  <c r="G37" i="63"/>
  <c r="E48" i="66"/>
  <c r="G33" i="58"/>
  <c r="AL51" i="66"/>
  <c r="AJ48" i="58"/>
  <c r="AJ19" i="65"/>
  <c r="G28" i="60"/>
  <c r="AJ10" i="61"/>
  <c r="AL19" i="66"/>
  <c r="G15" i="64"/>
  <c r="AJ7" i="65"/>
  <c r="AJ62" i="65"/>
  <c r="AJ8" i="60"/>
  <c r="AL44" i="66"/>
  <c r="G17" i="61"/>
  <c r="G38" i="65"/>
  <c r="AJ55" i="64"/>
  <c r="G38" i="60"/>
  <c r="AJ29" i="58"/>
  <c r="AJ53" i="61"/>
  <c r="AJ25" i="63"/>
  <c r="G9" i="61"/>
  <c r="AJ46" i="60"/>
  <c r="E36" i="66"/>
  <c r="G55" i="61"/>
  <c r="E15" i="66"/>
  <c r="AJ43" i="58"/>
  <c r="G19" i="60"/>
  <c r="AJ25" i="65"/>
  <c r="G62" i="64"/>
  <c r="G8" i="58"/>
  <c r="AJ25" i="60"/>
  <c r="AJ32" i="63"/>
  <c r="AJ56" i="65"/>
  <c r="AK36" i="66"/>
  <c r="E30" i="66"/>
  <c r="AJ43" i="60"/>
  <c r="AJ49" i="60"/>
  <c r="G13" i="60"/>
  <c r="AJ32" i="58"/>
  <c r="G61" i="58"/>
  <c r="AJ17" i="57"/>
  <c r="AJ59" i="61"/>
  <c r="G50" i="64"/>
  <c r="AJ65" i="63"/>
  <c r="G29" i="64"/>
  <c r="AL15" i="66"/>
  <c r="AJ26" i="63"/>
  <c r="G55" i="63"/>
  <c r="AJ59" i="58"/>
  <c r="G30" i="58"/>
  <c r="AJ16" i="57"/>
  <c r="G54" i="64"/>
  <c r="AJ24" i="60"/>
  <c r="G37" i="64"/>
  <c r="AJ23" i="57"/>
  <c r="AJ23" i="64"/>
  <c r="AJ58" i="57"/>
  <c r="AJ52" i="63"/>
  <c r="G21" i="58"/>
  <c r="AJ44" i="63"/>
  <c r="G53" i="63"/>
  <c r="G24" i="57"/>
  <c r="AJ55" i="58"/>
  <c r="G49" i="58"/>
  <c r="G61" i="64"/>
  <c r="E49" i="66"/>
  <c r="G54" i="61"/>
  <c r="AL52" i="66"/>
  <c r="AJ8" i="58"/>
  <c r="AJ32" i="61"/>
  <c r="AJ64" i="61"/>
  <c r="G13" i="61"/>
  <c r="E42" i="66"/>
  <c r="AJ34" i="65"/>
  <c r="AJ27" i="64"/>
  <c r="AL12" i="66"/>
  <c r="AK38" i="66"/>
  <c r="G41" i="60"/>
  <c r="G46" i="61"/>
  <c r="AJ23" i="63"/>
  <c r="G15" i="57"/>
  <c r="AJ46" i="64"/>
  <c r="G54" i="57"/>
  <c r="AJ26" i="57"/>
  <c r="G48" i="61"/>
  <c r="G24" i="60"/>
  <c r="AJ30" i="65"/>
  <c r="AJ45" i="63"/>
  <c r="AJ12" i="57"/>
  <c r="E61" i="66"/>
  <c r="AJ24" i="58"/>
  <c r="AJ57" i="58"/>
  <c r="G8" i="60"/>
  <c r="AJ13" i="64"/>
  <c r="AJ67" i="65"/>
  <c r="AJ55" i="63"/>
  <c r="G39" i="64"/>
  <c r="AJ54" i="61"/>
  <c r="G36" i="61"/>
  <c r="G56" i="58"/>
  <c r="G51" i="63"/>
  <c r="AJ15" i="64"/>
  <c r="AJ37" i="63"/>
  <c r="E17" i="66"/>
  <c r="G28" i="65"/>
  <c r="G47" i="58"/>
  <c r="AJ49" i="61"/>
  <c r="AJ28" i="64"/>
  <c r="AL17" i="66"/>
  <c r="G62" i="65"/>
  <c r="G46" i="57"/>
  <c r="AJ31" i="63"/>
  <c r="AJ62" i="61"/>
  <c r="AJ46" i="58"/>
  <c r="AJ33" i="64"/>
  <c r="G26" i="60"/>
  <c r="AJ44" i="58"/>
  <c r="AJ27" i="65"/>
  <c r="AJ24" i="57"/>
  <c r="AJ47" i="58"/>
  <c r="AJ47" i="65"/>
  <c r="AJ60" i="64"/>
  <c r="AJ64" i="65"/>
  <c r="G44" i="63"/>
  <c r="AJ47" i="57"/>
  <c r="G47" i="57"/>
  <c r="E44" i="66"/>
  <c r="G48" i="60"/>
  <c r="AJ19" i="61"/>
  <c r="G34" i="60"/>
  <c r="G14" i="64"/>
  <c r="AJ13" i="58"/>
  <c r="G36" i="60"/>
  <c r="G28" i="58"/>
  <c r="AK30" i="66"/>
  <c r="AJ15" i="65"/>
  <c r="AJ48" i="61"/>
  <c r="G36" i="57"/>
  <c r="AJ12" i="63"/>
  <c r="G40" i="64"/>
  <c r="G42" i="64"/>
  <c r="AJ15" i="63"/>
  <c r="G7" i="61"/>
  <c r="AJ65" i="65"/>
  <c r="AJ60" i="65"/>
  <c r="G33" i="65"/>
  <c r="G62" i="61"/>
  <c r="G11" i="63"/>
  <c r="AJ10" i="57"/>
  <c r="AJ47" i="63"/>
  <c r="AJ10" i="65"/>
  <c r="G8" i="63"/>
  <c r="G7" i="65"/>
  <c r="AJ66" i="57"/>
  <c r="AJ41" i="60"/>
  <c r="AJ28" i="61"/>
  <c r="E47" i="66"/>
  <c r="AJ49" i="63"/>
  <c r="AJ9" i="65"/>
  <c r="G37" i="61"/>
  <c r="AJ8" i="57"/>
  <c r="AJ53" i="57"/>
  <c r="AJ58" i="64"/>
  <c r="AL34" i="66"/>
  <c r="G52" i="58"/>
  <c r="AL22" i="66"/>
  <c r="AJ67" i="64"/>
  <c r="AJ61" i="57"/>
  <c r="AJ51" i="63"/>
  <c r="G22" i="60"/>
  <c r="G22" i="64"/>
  <c r="AJ32" i="64"/>
  <c r="AJ61" i="58"/>
  <c r="AJ42" i="57"/>
  <c r="G26" i="65"/>
  <c r="AJ63" i="64"/>
  <c r="AK26" i="66"/>
  <c r="G19" i="65"/>
  <c r="G13" i="58"/>
  <c r="G51" i="60"/>
  <c r="G16" i="57"/>
  <c r="AJ15" i="57"/>
  <c r="E13" i="66"/>
  <c r="G34" i="64"/>
  <c r="G55" i="58"/>
  <c r="G31" i="65"/>
  <c r="G14" i="61"/>
  <c r="AJ55" i="57"/>
  <c r="AK15" i="66"/>
  <c r="AJ36" i="64"/>
  <c r="AJ12" i="58"/>
  <c r="G38" i="58"/>
  <c r="AJ31" i="61"/>
  <c r="AL29" i="66"/>
  <c r="AJ33" i="58"/>
  <c r="AJ22" i="60"/>
  <c r="G48" i="58"/>
  <c r="AL46" i="66"/>
  <c r="AJ26" i="64"/>
  <c r="AJ14" i="63"/>
  <c r="AJ42" i="65"/>
  <c r="AJ61" i="63"/>
  <c r="AK34" i="66"/>
  <c r="AJ67" i="58"/>
  <c r="AJ18" i="58"/>
  <c r="AJ19" i="57"/>
  <c r="G26" i="63"/>
  <c r="G23" i="58"/>
  <c r="G30" i="65"/>
  <c r="AJ14" i="65"/>
  <c r="AJ60" i="60"/>
  <c r="AJ34" i="61"/>
  <c r="G30" i="64"/>
  <c r="G22" i="63"/>
  <c r="E51" i="66"/>
  <c r="G52" i="64"/>
  <c r="AJ9" i="61"/>
  <c r="G26" i="61"/>
  <c r="E6" i="57"/>
  <c r="G35" i="61"/>
  <c r="G32" i="57"/>
  <c r="AL43" i="66"/>
  <c r="AJ18" i="60"/>
  <c r="AJ18" i="65"/>
  <c r="G7" i="60"/>
  <c r="AJ60" i="57"/>
  <c r="AL9" i="66"/>
  <c r="AL37" i="66"/>
  <c r="AJ35" i="64"/>
  <c r="AK22" i="66"/>
  <c r="AJ17" i="64"/>
  <c r="AJ28" i="58"/>
  <c r="AJ50" i="57"/>
  <c r="G32" i="65"/>
  <c r="G21" i="63"/>
  <c r="G24" i="65"/>
  <c r="AJ46" i="61"/>
  <c r="G37" i="57"/>
  <c r="AJ39" i="61"/>
  <c r="AJ13" i="63"/>
  <c r="AJ35" i="58"/>
  <c r="AJ27" i="57"/>
  <c r="AJ62" i="64"/>
  <c r="AJ48" i="57"/>
  <c r="AL49" i="66"/>
  <c r="AJ28" i="65"/>
  <c r="AJ44" i="61"/>
  <c r="AL41" i="66"/>
  <c r="AL47" i="66"/>
  <c r="AJ53" i="64"/>
  <c r="AJ45" i="64"/>
  <c r="AJ24" i="61"/>
  <c r="AJ49" i="58"/>
  <c r="G25" i="61"/>
  <c r="AK27" i="66"/>
  <c r="AJ59" i="64"/>
  <c r="AJ50" i="61"/>
  <c r="G29" i="61"/>
  <c r="AJ56" i="63"/>
  <c r="AJ28" i="60"/>
  <c r="AJ7" i="57"/>
  <c r="AJ31" i="60"/>
  <c r="G29" i="60"/>
  <c r="AK11" i="66"/>
  <c r="AJ39" i="57"/>
  <c r="AJ11" i="61"/>
  <c r="AJ30" i="61"/>
  <c r="AJ18" i="63"/>
  <c r="AJ50" i="64"/>
  <c r="AJ36" i="65"/>
  <c r="AJ34" i="64"/>
  <c r="E6" i="58"/>
  <c r="AJ49" i="65"/>
  <c r="AJ7" i="58"/>
  <c r="G40" i="57"/>
  <c r="AJ46" i="57"/>
  <c r="G8" i="61"/>
  <c r="AJ19" i="63"/>
  <c r="G55" i="64"/>
  <c r="AJ29" i="57"/>
  <c r="AJ12" i="64"/>
  <c r="G45" i="63"/>
  <c r="AL38" i="66"/>
  <c r="G54" i="63"/>
  <c r="G47" i="63"/>
  <c r="AL48" i="66"/>
  <c r="G28" i="57"/>
  <c r="AJ29" i="60"/>
  <c r="G20" i="64"/>
  <c r="AJ63" i="61"/>
  <c r="AJ54" i="58"/>
  <c r="G31" i="63"/>
  <c r="E52" i="66"/>
  <c r="AJ38" i="57"/>
  <c r="G13" i="65"/>
  <c r="AJ11" i="60"/>
  <c r="AJ11" i="58"/>
  <c r="AJ52" i="61"/>
  <c r="G54" i="58"/>
  <c r="AJ64" i="64"/>
  <c r="AJ55" i="60"/>
  <c r="G35" i="63"/>
  <c r="AK25" i="66"/>
  <c r="G49" i="60"/>
  <c r="G39" i="60"/>
  <c r="AJ10" i="64"/>
  <c r="AJ20" i="57"/>
  <c r="G43" i="65"/>
  <c r="G50" i="63"/>
  <c r="AJ16" i="63"/>
  <c r="AJ38" i="61"/>
  <c r="AJ29" i="63"/>
  <c r="AJ9" i="63"/>
  <c r="AJ31" i="65"/>
  <c r="AK41" i="66"/>
  <c r="AJ62" i="58"/>
  <c r="G56" i="57"/>
  <c r="E21" i="66"/>
  <c r="AJ33" i="63"/>
  <c r="G50" i="61"/>
  <c r="G48" i="64"/>
  <c r="G32" i="64"/>
  <c r="G18" i="65"/>
  <c r="E16" i="66"/>
  <c r="AK22" i="65"/>
  <c r="AK29" i="66"/>
  <c r="AJ57" i="61"/>
  <c r="AJ58" i="63"/>
  <c r="G42" i="58"/>
  <c r="G14" i="65"/>
  <c r="AJ49" i="64"/>
  <c r="G32" i="63"/>
  <c r="AJ32" i="60"/>
  <c r="AJ20" i="64"/>
  <c r="AJ41" i="64"/>
  <c r="G9" i="57"/>
  <c r="AK24" i="65"/>
  <c r="AJ9" i="60"/>
  <c r="G17" i="58"/>
  <c r="AJ59" i="65"/>
  <c r="AJ19" i="58"/>
  <c r="G18" i="64"/>
  <c r="E50" i="66"/>
  <c r="AL41" i="65"/>
  <c r="AK35" i="66"/>
  <c r="AJ11" i="65"/>
  <c r="AJ18" i="61"/>
  <c r="AL30" i="66"/>
  <c r="AJ15" i="61"/>
  <c r="AJ30" i="60"/>
  <c r="AJ36" i="58"/>
  <c r="AJ51" i="65"/>
  <c r="AL25" i="66"/>
  <c r="G37" i="60"/>
  <c r="AJ16" i="64"/>
  <c r="G54" i="65"/>
  <c r="AJ40" i="57"/>
  <c r="G62" i="57"/>
  <c r="G40" i="58"/>
  <c r="AJ20" i="58"/>
  <c r="G7" i="64"/>
  <c r="G55" i="60"/>
  <c r="G23" i="61"/>
  <c r="AL32" i="66"/>
  <c r="AJ26" i="58"/>
  <c r="AJ64" i="57"/>
  <c r="AJ58" i="60"/>
  <c r="G27" i="58"/>
  <c r="AJ25" i="58"/>
  <c r="E39" i="66"/>
  <c r="AK44" i="66"/>
  <c r="AJ23" i="60"/>
  <c r="AJ66" i="63"/>
  <c r="G10" i="58"/>
  <c r="AK24" i="66"/>
  <c r="AK14" i="66"/>
  <c r="AJ22" i="57"/>
  <c r="AJ19" i="64"/>
  <c r="G18" i="58"/>
  <c r="G49" i="65"/>
  <c r="AJ57" i="64"/>
  <c r="G25" i="65"/>
  <c r="G35" i="58"/>
  <c r="G34" i="63"/>
  <c r="G32" i="61"/>
  <c r="AK61" i="66"/>
  <c r="G34" i="58"/>
  <c r="G41" i="64"/>
  <c r="AK50" i="66"/>
  <c r="AJ67" i="60"/>
  <c r="AJ11" i="63"/>
  <c r="AJ7" i="61"/>
  <c r="G32" i="60"/>
  <c r="AK43" i="66"/>
  <c r="AL24" i="66"/>
  <c r="AJ40" i="64"/>
  <c r="G24" i="58"/>
  <c r="AJ35" i="57"/>
  <c r="G33" i="61"/>
  <c r="G9" i="63"/>
  <c r="AL42" i="66"/>
  <c r="AJ62" i="57"/>
  <c r="AJ18" i="64"/>
  <c r="G27" i="57"/>
  <c r="G51" i="61"/>
  <c r="E37" i="66"/>
  <c r="AJ21" i="63"/>
  <c r="AJ66" i="61"/>
  <c r="G51" i="57"/>
  <c r="AJ64" i="60"/>
  <c r="G26" i="58"/>
  <c r="AJ16" i="58"/>
  <c r="AJ64" i="63"/>
  <c r="AJ53" i="60"/>
  <c r="AJ24" i="63"/>
  <c r="AJ34" i="57"/>
  <c r="G16" i="64"/>
  <c r="G52" i="60"/>
  <c r="AJ17" i="63"/>
  <c r="AJ42" i="63"/>
  <c r="AL22" i="65"/>
  <c r="AL20" i="65"/>
  <c r="G53" i="61"/>
  <c r="AJ27" i="63"/>
  <c r="G31" i="64"/>
  <c r="G51" i="65"/>
  <c r="G20" i="63"/>
  <c r="AJ58" i="61"/>
  <c r="G42" i="60"/>
  <c r="G35" i="60"/>
  <c r="AJ27" i="58"/>
  <c r="AJ13" i="60"/>
  <c r="G52" i="65"/>
  <c r="E33" i="66"/>
  <c r="AJ26" i="65"/>
  <c r="AJ22" i="63"/>
  <c r="G24" i="64"/>
  <c r="AJ52" i="60"/>
  <c r="AJ34" i="58"/>
  <c r="G45" i="60"/>
  <c r="AJ13" i="61"/>
  <c r="AJ24" i="64"/>
  <c r="G15" i="63"/>
  <c r="AJ62" i="63"/>
  <c r="G9" i="65"/>
  <c r="AX7" i="7"/>
  <c r="AX11" i="7"/>
  <c r="AO7" i="7"/>
  <c r="AL58" i="61" l="1"/>
  <c r="AK58" i="61"/>
  <c r="AM58" i="61" s="1"/>
  <c r="AG20" i="65"/>
  <c r="AH20" i="65"/>
  <c r="AG22" i="65"/>
  <c r="AH22" i="65"/>
  <c r="AK64" i="63"/>
  <c r="AM64" i="63" s="1"/>
  <c r="AL64" i="63"/>
  <c r="AK64" i="60"/>
  <c r="AM64" i="60" s="1"/>
  <c r="AL64" i="60"/>
  <c r="AK66" i="61"/>
  <c r="AM66" i="61" s="1"/>
  <c r="AL66" i="61"/>
  <c r="AG42" i="66"/>
  <c r="AH42" i="66"/>
  <c r="AH24" i="66"/>
  <c r="AG24" i="66"/>
  <c r="AM43" i="66"/>
  <c r="AK67" i="60"/>
  <c r="AM67" i="60" s="1"/>
  <c r="AL67" i="60"/>
  <c r="AM50" i="66"/>
  <c r="AM61" i="66"/>
  <c r="AK57" i="64"/>
  <c r="AM57" i="64" s="1"/>
  <c r="AL57" i="64"/>
  <c r="AM14" i="66"/>
  <c r="AM24" i="66"/>
  <c r="AK66" i="63"/>
  <c r="AM66" i="63" s="1"/>
  <c r="AL66" i="63"/>
  <c r="AM44" i="66"/>
  <c r="AL58" i="60"/>
  <c r="AK58" i="60"/>
  <c r="AM58" i="60" s="1"/>
  <c r="AK64" i="57"/>
  <c r="AM64" i="57" s="1"/>
  <c r="AL64" i="57"/>
  <c r="AG32" i="66"/>
  <c r="AH32" i="66"/>
  <c r="AG25" i="66"/>
  <c r="AH25" i="66"/>
  <c r="AH30" i="66"/>
  <c r="AG30" i="66"/>
  <c r="AM35" i="66"/>
  <c r="AG41" i="65"/>
  <c r="AH41" i="65"/>
  <c r="AL59" i="65"/>
  <c r="AK59" i="65"/>
  <c r="AM59" i="65" s="1"/>
  <c r="AM24" i="65"/>
  <c r="AL58" i="63"/>
  <c r="AK58" i="63"/>
  <c r="AM58" i="63" s="1"/>
  <c r="AL57" i="61"/>
  <c r="AK57" i="61"/>
  <c r="AM57" i="61" s="1"/>
  <c r="AM29" i="66"/>
  <c r="AM22" i="65"/>
  <c r="AM41" i="66"/>
  <c r="AM25" i="66"/>
  <c r="AK64" i="64"/>
  <c r="AM64" i="64" s="1"/>
  <c r="AL64" i="64"/>
  <c r="AK63" i="61"/>
  <c r="AM63" i="61" s="1"/>
  <c r="AL63" i="61"/>
  <c r="AG48" i="66"/>
  <c r="AH48" i="66"/>
  <c r="AG38" i="66"/>
  <c r="AH38" i="66"/>
  <c r="AM11" i="66"/>
  <c r="AK56" i="63"/>
  <c r="AM56" i="63" s="1"/>
  <c r="AL56" i="63"/>
  <c r="AK59" i="64"/>
  <c r="AM59" i="64" s="1"/>
  <c r="AL59" i="64"/>
  <c r="AM27" i="66"/>
  <c r="AH47" i="66"/>
  <c r="AG47" i="66"/>
  <c r="AG41" i="66"/>
  <c r="AH41" i="66"/>
  <c r="AG49" i="66"/>
  <c r="AH49" i="66"/>
  <c r="AM22" i="66"/>
  <c r="AH37" i="66"/>
  <c r="AG37" i="66"/>
  <c r="AG9" i="66"/>
  <c r="AH9" i="66"/>
  <c r="AK60" i="57"/>
  <c r="AM60" i="57" s="1"/>
  <c r="AL60" i="57"/>
  <c r="AG43" i="66"/>
  <c r="AH43" i="66"/>
  <c r="AL60" i="60"/>
  <c r="AK60" i="60"/>
  <c r="AM60" i="60" s="1"/>
  <c r="AK67" i="58"/>
  <c r="AM67" i="58" s="1"/>
  <c r="AL67" i="58"/>
  <c r="AM34" i="66"/>
  <c r="AG46" i="66"/>
  <c r="AH46" i="66"/>
  <c r="AH29" i="66"/>
  <c r="AG29" i="66"/>
  <c r="AM15" i="66"/>
  <c r="AM26" i="66"/>
  <c r="AL63" i="64"/>
  <c r="AK63" i="64"/>
  <c r="AM63" i="64" s="1"/>
  <c r="AL67" i="64"/>
  <c r="AK67" i="64"/>
  <c r="AM67" i="64" s="1"/>
  <c r="AH22" i="66"/>
  <c r="AG22" i="66"/>
  <c r="AG34" i="66"/>
  <c r="AH34" i="66"/>
  <c r="AK58" i="64"/>
  <c r="AM58" i="64" s="1"/>
  <c r="AL58" i="64"/>
  <c r="AL66" i="57"/>
  <c r="AK66" i="57"/>
  <c r="AM66" i="57" s="1"/>
  <c r="AL60" i="65"/>
  <c r="AK60" i="65"/>
  <c r="AM60" i="65" s="1"/>
  <c r="AL65" i="65"/>
  <c r="AK65" i="65"/>
  <c r="AM65" i="65" s="1"/>
  <c r="AM30" i="66"/>
  <c r="AK64" i="65"/>
  <c r="AM64" i="65" s="1"/>
  <c r="AL64" i="65"/>
  <c r="AK60" i="64"/>
  <c r="AM60" i="64" s="1"/>
  <c r="AL60" i="64"/>
  <c r="AG17" i="66"/>
  <c r="AH17" i="66"/>
  <c r="AK67" i="65"/>
  <c r="AM67" i="65" s="1"/>
  <c r="AL67" i="65"/>
  <c r="AM38" i="66"/>
  <c r="AH12" i="66"/>
  <c r="AG12" i="66"/>
  <c r="AK64" i="61"/>
  <c r="AM64" i="61" s="1"/>
  <c r="AL64" i="61"/>
  <c r="AG52" i="66"/>
  <c r="AH52" i="66"/>
  <c r="AK58" i="57"/>
  <c r="AM58" i="57" s="1"/>
  <c r="AL58" i="57"/>
  <c r="AK59" i="58"/>
  <c r="AM59" i="58" s="1"/>
  <c r="AL59" i="58"/>
  <c r="AH15" i="66"/>
  <c r="AG15" i="66"/>
  <c r="AL65" i="63"/>
  <c r="AK65" i="63"/>
  <c r="AM65" i="63" s="1"/>
  <c r="AK59" i="61"/>
  <c r="AM59" i="61" s="1"/>
  <c r="AL59" i="61"/>
  <c r="AM36" i="66"/>
  <c r="AL56" i="65"/>
  <c r="AK56" i="65"/>
  <c r="AM56" i="65" s="1"/>
  <c r="AG44" i="66"/>
  <c r="AH44" i="66"/>
  <c r="AG19" i="66"/>
  <c r="AH19" i="66"/>
  <c r="AG51" i="66"/>
  <c r="AH51" i="66"/>
  <c r="AK58" i="65"/>
  <c r="AM58" i="65" s="1"/>
  <c r="AL58" i="65"/>
  <c r="AM32" i="66"/>
  <c r="AM37" i="66"/>
  <c r="AK66" i="64"/>
  <c r="AM66" i="64" s="1"/>
  <c r="AL66" i="64"/>
  <c r="AM17" i="66"/>
  <c r="AM48" i="66"/>
  <c r="AG17" i="65"/>
  <c r="AH17" i="65"/>
  <c r="AM31" i="66"/>
  <c r="AL66" i="58"/>
  <c r="AK66" i="58"/>
  <c r="AM66" i="58" s="1"/>
  <c r="AL65" i="61"/>
  <c r="AK65" i="61"/>
  <c r="AM65" i="61" s="1"/>
  <c r="AM45" i="66"/>
  <c r="AM49" i="66"/>
  <c r="AL60" i="63"/>
  <c r="AK60" i="63"/>
  <c r="AM60" i="63" s="1"/>
  <c r="AM8" i="66"/>
  <c r="AM20" i="65"/>
  <c r="AK60" i="61"/>
  <c r="AM60" i="61" s="1"/>
  <c r="AL60" i="61"/>
  <c r="AL66" i="65"/>
  <c r="AK66" i="65"/>
  <c r="AM66" i="65" s="1"/>
  <c r="AM7" i="66"/>
  <c r="AG23" i="66"/>
  <c r="AH23" i="66"/>
  <c r="AL65" i="64"/>
  <c r="AK65" i="64"/>
  <c r="AM65" i="64" s="1"/>
  <c r="AM12" i="66"/>
  <c r="AG11" i="66"/>
  <c r="AH11" i="66"/>
  <c r="AK65" i="60"/>
  <c r="AM65" i="60" s="1"/>
  <c r="AL65" i="60"/>
  <c r="AL66" i="60"/>
  <c r="AK66" i="60"/>
  <c r="AM66" i="60" s="1"/>
  <c r="AG14" i="66"/>
  <c r="AH14" i="66"/>
  <c r="AG35" i="66"/>
  <c r="AH35" i="66"/>
  <c r="AG20" i="66"/>
  <c r="AH20" i="66"/>
  <c r="AK57" i="65"/>
  <c r="AM57" i="65" s="1"/>
  <c r="AL57" i="65"/>
  <c r="AH18" i="66"/>
  <c r="AG18" i="66"/>
  <c r="AM21" i="66"/>
  <c r="AK65" i="58"/>
  <c r="AM65" i="58" s="1"/>
  <c r="AL65" i="58"/>
  <c r="AH45" i="58"/>
  <c r="AG45" i="58"/>
  <c r="AM46" i="66"/>
  <c r="AL59" i="60"/>
  <c r="AK59" i="60"/>
  <c r="AM59" i="60" s="1"/>
  <c r="AL63" i="57"/>
  <c r="AK63" i="57"/>
  <c r="AM63" i="57" s="1"/>
  <c r="AG45" i="66"/>
  <c r="AH45" i="66"/>
  <c r="AK67" i="57"/>
  <c r="AM67" i="57" s="1"/>
  <c r="AL67" i="57"/>
  <c r="AH53" i="66"/>
  <c r="AG53" i="66"/>
  <c r="AK60" i="58"/>
  <c r="AM60" i="58" s="1"/>
  <c r="AL60" i="58"/>
  <c r="AL63" i="58"/>
  <c r="AK63" i="58"/>
  <c r="AM63" i="58" s="1"/>
  <c r="AL65" i="57"/>
  <c r="AK65" i="57"/>
  <c r="AM65" i="57" s="1"/>
  <c r="AM9" i="66"/>
  <c r="AM42" i="66"/>
  <c r="AM53" i="66"/>
  <c r="AM20" i="66"/>
  <c r="AK67" i="63"/>
  <c r="AM67" i="63" s="1"/>
  <c r="AL67" i="63"/>
  <c r="AM13" i="66"/>
  <c r="AM52" i="66"/>
  <c r="AG50" i="66"/>
  <c r="AH50" i="66"/>
  <c r="AM16" i="66"/>
  <c r="AG26" i="66"/>
  <c r="AH26" i="66"/>
  <c r="AG21" i="66"/>
  <c r="AH21" i="66"/>
  <c r="AH24" i="65"/>
  <c r="AG24" i="65"/>
  <c r="AH27" i="66"/>
  <c r="AG27" i="66"/>
  <c r="AM41" i="65"/>
  <c r="AM23" i="66"/>
  <c r="AM18" i="66"/>
  <c r="AG16" i="66"/>
  <c r="AH16" i="66"/>
  <c r="AM51" i="66"/>
  <c r="AL56" i="61"/>
  <c r="AK56" i="61"/>
  <c r="AM56" i="61" s="1"/>
  <c r="AL57" i="63"/>
  <c r="AK57" i="63"/>
  <c r="AM57" i="63" s="1"/>
  <c r="AL63" i="65"/>
  <c r="AK63" i="65"/>
  <c r="AM63" i="65" s="1"/>
  <c r="AH7" i="66"/>
  <c r="AG7" i="66"/>
  <c r="AM39" i="66"/>
  <c r="AM17" i="65"/>
  <c r="AL57" i="60"/>
  <c r="AK57" i="60"/>
  <c r="AM57" i="60" s="1"/>
  <c r="AH61" i="66"/>
  <c r="AG61" i="66"/>
  <c r="AK59" i="57"/>
  <c r="AM59" i="57" s="1"/>
  <c r="AL59" i="57"/>
  <c r="AG10" i="66"/>
  <c r="AH10" i="66"/>
  <c r="R11" i="66"/>
  <c r="R16" i="66" a="1"/>
  <c r="R16" i="66" s="1"/>
  <c r="R12" i="66"/>
  <c r="R8" i="66"/>
  <c r="R9" i="66"/>
  <c r="O11" i="66"/>
  <c r="U8" i="66"/>
  <c r="V8" i="66" s="1"/>
  <c r="O10" i="66"/>
  <c r="U9" i="66"/>
  <c r="V9" i="66" s="1"/>
  <c r="U13" i="66"/>
  <c r="V13" i="66" s="1"/>
  <c r="U11" i="66"/>
  <c r="V11" i="66" s="1"/>
  <c r="O16" i="66" a="1"/>
  <c r="O16" i="66" s="1"/>
  <c r="O13" i="66"/>
  <c r="P13" i="66" s="1"/>
  <c r="U16" i="66" a="1"/>
  <c r="U16" i="66" s="1"/>
  <c r="U12" i="66"/>
  <c r="V12" i="66" s="1"/>
  <c r="O8" i="66"/>
  <c r="AA8" i="66" s="1"/>
  <c r="R10" i="66"/>
  <c r="R13" i="66"/>
  <c r="AA13" i="66" s="1"/>
  <c r="O12" i="66"/>
  <c r="O9" i="66"/>
  <c r="U10" i="66"/>
  <c r="V10" i="66" s="1"/>
  <c r="AM45" i="58"/>
  <c r="AH39" i="66"/>
  <c r="AG39" i="66"/>
  <c r="AG13" i="66"/>
  <c r="AH13" i="66"/>
  <c r="AK58" i="58"/>
  <c r="AM58" i="58" s="1"/>
  <c r="AL58" i="58"/>
  <c r="AM19" i="66"/>
  <c r="AK59" i="63"/>
  <c r="AM59" i="63" s="1"/>
  <c r="AL59" i="63"/>
  <c r="AL63" i="63"/>
  <c r="AK63" i="63"/>
  <c r="AM63" i="63" s="1"/>
  <c r="AM10" i="66"/>
  <c r="AG28" i="66"/>
  <c r="AH28" i="66"/>
  <c r="AK63" i="60"/>
  <c r="AM63" i="60" s="1"/>
  <c r="AL63" i="60"/>
  <c r="AM28" i="66"/>
  <c r="AH8" i="66"/>
  <c r="AG8" i="66"/>
  <c r="AM47" i="66"/>
  <c r="AK56" i="64"/>
  <c r="AM56" i="64" s="1"/>
  <c r="AL56" i="64"/>
  <c r="AK67" i="61"/>
  <c r="AM67" i="61" s="1"/>
  <c r="AL67" i="61"/>
  <c r="AH36" i="66"/>
  <c r="AG36" i="66"/>
  <c r="AH31" i="66"/>
  <c r="AG31" i="66"/>
  <c r="AK64" i="58"/>
  <c r="AM64" i="58" s="1"/>
  <c r="AL64" i="58"/>
  <c r="BI42" i="81"/>
  <c r="BF42" i="81"/>
  <c r="BH42" i="81"/>
  <c r="BG42" i="81"/>
  <c r="BC44" i="81"/>
  <c r="BD43" i="81"/>
  <c r="AA12" i="66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E9" i="65"/>
  <c r="AL24" i="64"/>
  <c r="E45" i="60"/>
  <c r="AK52" i="60"/>
  <c r="AK26" i="65"/>
  <c r="AK13" i="60"/>
  <c r="E42" i="60"/>
  <c r="E51" i="65"/>
  <c r="E53" i="61"/>
  <c r="AK17" i="63"/>
  <c r="AL34" i="57"/>
  <c r="AL53" i="60"/>
  <c r="AK16" i="58"/>
  <c r="E51" i="57"/>
  <c r="AK21" i="63"/>
  <c r="AL18" i="64"/>
  <c r="AK35" i="57"/>
  <c r="AK7" i="61"/>
  <c r="E34" i="58"/>
  <c r="E35" i="58"/>
  <c r="E49" i="65"/>
  <c r="AL22" i="57"/>
  <c r="E10" i="58"/>
  <c r="AL23" i="60"/>
  <c r="E27" i="58"/>
  <c r="AK20" i="58"/>
  <c r="AK40" i="57"/>
  <c r="AK16" i="64"/>
  <c r="AL51" i="65"/>
  <c r="AL30" i="60"/>
  <c r="AK11" i="65"/>
  <c r="AK9" i="60"/>
  <c r="AK41" i="64"/>
  <c r="AL32" i="60"/>
  <c r="E14" i="65"/>
  <c r="E18" i="65"/>
  <c r="AK33" i="63"/>
  <c r="AK62" i="58"/>
  <c r="AL9" i="63"/>
  <c r="AL38" i="61"/>
  <c r="E50" i="63"/>
  <c r="AL10" i="64"/>
  <c r="AL52" i="61"/>
  <c r="AL11" i="60"/>
  <c r="E31" i="63"/>
  <c r="E28" i="57"/>
  <c r="E54" i="63"/>
  <c r="AK12" i="64"/>
  <c r="E55" i="64"/>
  <c r="AL46" i="57"/>
  <c r="AK7" i="58"/>
  <c r="AL34" i="64"/>
  <c r="AK50" i="64"/>
  <c r="AK30" i="61"/>
  <c r="AK39" i="57"/>
  <c r="AK31" i="60"/>
  <c r="AK28" i="60"/>
  <c r="AK50" i="61"/>
  <c r="AL24" i="61"/>
  <c r="AL53" i="64"/>
  <c r="AK28" i="65"/>
  <c r="AK48" i="57"/>
  <c r="AK27" i="57"/>
  <c r="AK13" i="63"/>
  <c r="E37" i="57"/>
  <c r="E21" i="63"/>
  <c r="AK28" i="58"/>
  <c r="AK18" i="60"/>
  <c r="E32" i="57"/>
  <c r="AK9" i="61"/>
  <c r="AK34" i="61"/>
  <c r="AK14" i="65"/>
  <c r="E26" i="63"/>
  <c r="AK18" i="58"/>
  <c r="AK61" i="63"/>
  <c r="AL14" i="63"/>
  <c r="AK22" i="60"/>
  <c r="AK12" i="58"/>
  <c r="E31" i="65"/>
  <c r="AL15" i="57"/>
  <c r="E19" i="65"/>
  <c r="E26" i="65"/>
  <c r="AL61" i="58"/>
  <c r="E22" i="60"/>
  <c r="AL61" i="57"/>
  <c r="AK8" i="57"/>
  <c r="AK9" i="65"/>
  <c r="AL28" i="61"/>
  <c r="AK10" i="65"/>
  <c r="AK10" i="57"/>
  <c r="E7" i="61"/>
  <c r="E40" i="64"/>
  <c r="AK48" i="61"/>
  <c r="AK13" i="58"/>
  <c r="AL19" i="61"/>
  <c r="AK47" i="57"/>
  <c r="AK47" i="58"/>
  <c r="AK27" i="65"/>
  <c r="E26" i="60"/>
  <c r="AL46" i="58"/>
  <c r="AL31" i="63"/>
  <c r="AL49" i="61"/>
  <c r="AK37" i="63"/>
  <c r="E56" i="58"/>
  <c r="E39" i="64"/>
  <c r="AK57" i="58"/>
  <c r="AK12" i="57"/>
  <c r="AK30" i="65"/>
  <c r="AL26" i="57"/>
  <c r="AK46" i="64"/>
  <c r="E46" i="61"/>
  <c r="AL34" i="65"/>
  <c r="AL32" i="61"/>
  <c r="E49" i="58"/>
  <c r="E53" i="63"/>
  <c r="AK52" i="63"/>
  <c r="AK23" i="64"/>
  <c r="E37" i="64"/>
  <c r="AK16" i="57"/>
  <c r="AL17" i="57"/>
  <c r="AL32" i="58"/>
  <c r="AK43" i="60"/>
  <c r="AK25" i="60"/>
  <c r="AL25" i="65"/>
  <c r="E55" i="61"/>
  <c r="AL25" i="63"/>
  <c r="AL29" i="58"/>
  <c r="AL55" i="64"/>
  <c r="AL62" i="65"/>
  <c r="E28" i="60"/>
  <c r="AK48" i="58"/>
  <c r="E37" i="63"/>
  <c r="AK41" i="58"/>
  <c r="AL50" i="58"/>
  <c r="AL44" i="64"/>
  <c r="AK44" i="60"/>
  <c r="E23" i="64"/>
  <c r="AL52" i="58"/>
  <c r="AK21" i="58"/>
  <c r="AK52" i="64"/>
  <c r="AL52" i="65"/>
  <c r="E50" i="60"/>
  <c r="AL8" i="64"/>
  <c r="E45" i="61"/>
  <c r="AL31" i="58"/>
  <c r="AK9" i="58"/>
  <c r="AK21" i="64"/>
  <c r="AL10" i="63"/>
  <c r="E34" i="57"/>
  <c r="E37" i="58"/>
  <c r="E39" i="61"/>
  <c r="E27" i="60"/>
  <c r="AL29" i="61"/>
  <c r="E19" i="64"/>
  <c r="E35" i="64"/>
  <c r="AL52" i="57"/>
  <c r="AK8" i="63"/>
  <c r="E17" i="64"/>
  <c r="E9" i="60"/>
  <c r="AL30" i="63"/>
  <c r="AK20" i="60"/>
  <c r="E45" i="58"/>
  <c r="E18" i="57"/>
  <c r="AL29" i="65"/>
  <c r="E22" i="65"/>
  <c r="AK11" i="57"/>
  <c r="AL38" i="64"/>
  <c r="AL33" i="65"/>
  <c r="E12" i="60"/>
  <c r="AL50" i="65"/>
  <c r="AK56" i="58"/>
  <c r="AL31" i="57"/>
  <c r="E41" i="61"/>
  <c r="AL7" i="63"/>
  <c r="E19" i="63"/>
  <c r="E7" i="63"/>
  <c r="AL25" i="64"/>
  <c r="AL40" i="65"/>
  <c r="AL54" i="60"/>
  <c r="E44" i="60"/>
  <c r="AK39" i="60"/>
  <c r="AK42" i="64"/>
  <c r="AK46" i="65"/>
  <c r="AK18" i="57"/>
  <c r="AK48" i="63"/>
  <c r="AL13" i="65"/>
  <c r="E41" i="58"/>
  <c r="AL53" i="65"/>
  <c r="E11" i="57"/>
  <c r="AK43" i="65"/>
  <c r="AL21" i="61"/>
  <c r="E62" i="60"/>
  <c r="AL48" i="60"/>
  <c r="AL47" i="61"/>
  <c r="AK35" i="61"/>
  <c r="AL36" i="60"/>
  <c r="AL36" i="63"/>
  <c r="AL23" i="65"/>
  <c r="AK12" i="65"/>
  <c r="AK43" i="57"/>
  <c r="E49" i="57"/>
  <c r="E14" i="57"/>
  <c r="AK47" i="64"/>
  <c r="E21" i="65"/>
  <c r="AK30" i="64"/>
  <c r="E10" i="60"/>
  <c r="AL33" i="57"/>
  <c r="AL45" i="60"/>
  <c r="AK62" i="60"/>
  <c r="AL21" i="65"/>
  <c r="AL14" i="60"/>
  <c r="AK21" i="60"/>
  <c r="AL16" i="61"/>
  <c r="AK7" i="60"/>
  <c r="AK54" i="65"/>
  <c r="E12" i="61"/>
  <c r="AL36" i="61"/>
  <c r="AK55" i="65"/>
  <c r="E56" i="60"/>
  <c r="E17" i="65"/>
  <c r="AL37" i="58"/>
  <c r="AK22" i="64"/>
  <c r="E47" i="60"/>
  <c r="AK37" i="60"/>
  <c r="AK54" i="64"/>
  <c r="AL61" i="64"/>
  <c r="AK28" i="63"/>
  <c r="AK38" i="63"/>
  <c r="E25" i="60"/>
  <c r="AK17" i="58"/>
  <c r="AL8" i="65"/>
  <c r="AL35" i="65"/>
  <c r="E48" i="63"/>
  <c r="AL37" i="65"/>
  <c r="AL21" i="57"/>
  <c r="AL22" i="58"/>
  <c r="E31" i="61"/>
  <c r="AL41" i="61"/>
  <c r="AK13" i="57"/>
  <c r="E52" i="57"/>
  <c r="AL57" i="57"/>
  <c r="E61" i="60"/>
  <c r="E41" i="63"/>
  <c r="AL37" i="64"/>
  <c r="E8" i="65"/>
  <c r="AK14" i="58"/>
  <c r="AL44" i="57"/>
  <c r="AL42" i="61"/>
  <c r="AL42" i="58"/>
  <c r="AL50" i="63"/>
  <c r="E51" i="58"/>
  <c r="E15" i="65"/>
  <c r="E47" i="65"/>
  <c r="E61" i="61"/>
  <c r="AL27" i="60"/>
  <c r="AL38" i="65"/>
  <c r="AL40" i="63"/>
  <c r="AK43" i="61"/>
  <c r="AK35" i="60"/>
  <c r="AL54" i="57"/>
  <c r="E21" i="57"/>
  <c r="E44" i="61"/>
  <c r="AL62" i="63"/>
  <c r="AK24" i="64"/>
  <c r="AL34" i="58"/>
  <c r="E24" i="64"/>
  <c r="AL26" i="65"/>
  <c r="AK27" i="58"/>
  <c r="E31" i="64"/>
  <c r="AK42" i="63"/>
  <c r="E52" i="60"/>
  <c r="AL24" i="63"/>
  <c r="E26" i="58"/>
  <c r="E51" i="61"/>
  <c r="AL62" i="57"/>
  <c r="E9" i="63"/>
  <c r="E24" i="58"/>
  <c r="AL7" i="61"/>
  <c r="E25" i="65"/>
  <c r="E18" i="58"/>
  <c r="AK22" i="57"/>
  <c r="AL26" i="58"/>
  <c r="E23" i="61"/>
  <c r="AL20" i="58"/>
  <c r="AL40" i="57"/>
  <c r="E37" i="60"/>
  <c r="AK51" i="65"/>
  <c r="AK30" i="60"/>
  <c r="AL11" i="65"/>
  <c r="E18" i="64"/>
  <c r="AL20" i="64"/>
  <c r="E32" i="63"/>
  <c r="E42" i="58"/>
  <c r="E32" i="64"/>
  <c r="AL33" i="63"/>
  <c r="AK9" i="63"/>
  <c r="AK38" i="61"/>
  <c r="E43" i="65"/>
  <c r="AK10" i="64"/>
  <c r="E35" i="63"/>
  <c r="AL11" i="58"/>
  <c r="E13" i="65"/>
  <c r="AL54" i="58"/>
  <c r="E20" i="64"/>
  <c r="AL12" i="64"/>
  <c r="AL19" i="63"/>
  <c r="AK46" i="57"/>
  <c r="AL49" i="65"/>
  <c r="AL36" i="65"/>
  <c r="AK18" i="63"/>
  <c r="AL11" i="61"/>
  <c r="AK7" i="57"/>
  <c r="AL50" i="61"/>
  <c r="E25" i="61"/>
  <c r="AK24" i="61"/>
  <c r="AK53" i="64"/>
  <c r="AL28" i="65"/>
  <c r="AL48" i="57"/>
  <c r="AL27" i="57"/>
  <c r="AL13" i="63"/>
  <c r="AL46" i="61"/>
  <c r="E32" i="65"/>
  <c r="AL28" i="58"/>
  <c r="AK35" i="64"/>
  <c r="E7" i="60"/>
  <c r="AL18" i="60"/>
  <c r="E35" i="61"/>
  <c r="E52" i="64"/>
  <c r="AL34" i="61"/>
  <c r="AL14" i="65"/>
  <c r="AL19" i="57"/>
  <c r="AL61" i="63"/>
  <c r="AK14" i="63"/>
  <c r="AL33" i="58"/>
  <c r="AK31" i="61"/>
  <c r="AL12" i="58"/>
  <c r="AK55" i="57"/>
  <c r="E55" i="58"/>
  <c r="E16" i="57"/>
  <c r="AL42" i="57"/>
  <c r="AK32" i="64"/>
  <c r="AK51" i="63"/>
  <c r="E52" i="58"/>
  <c r="AL8" i="57"/>
  <c r="AL49" i="63"/>
  <c r="AK41" i="60"/>
  <c r="E7" i="65"/>
  <c r="AK47" i="63"/>
  <c r="E11" i="63"/>
  <c r="AK15" i="63"/>
  <c r="AL12" i="63"/>
  <c r="AL48" i="61"/>
  <c r="E28" i="58"/>
  <c r="E14" i="64"/>
  <c r="E48" i="60"/>
  <c r="E44" i="63"/>
  <c r="AL47" i="58"/>
  <c r="AL27" i="65"/>
  <c r="AK33" i="64"/>
  <c r="AL62" i="61"/>
  <c r="E46" i="57"/>
  <c r="AK28" i="64"/>
  <c r="E47" i="58"/>
  <c r="AK15" i="64"/>
  <c r="E36" i="61"/>
  <c r="AK55" i="63"/>
  <c r="AK13" i="64"/>
  <c r="AL57" i="58"/>
  <c r="AL12" i="57"/>
  <c r="AL30" i="65"/>
  <c r="AK26" i="57"/>
  <c r="E15" i="57"/>
  <c r="E41" i="60"/>
  <c r="AL27" i="64"/>
  <c r="E13" i="61"/>
  <c r="AK32" i="61"/>
  <c r="AK55" i="58"/>
  <c r="AL44" i="63"/>
  <c r="AL52" i="63"/>
  <c r="AL23" i="64"/>
  <c r="AL24" i="60"/>
  <c r="AL16" i="57"/>
  <c r="E55" i="63"/>
  <c r="E50" i="64"/>
  <c r="AK17" i="57"/>
  <c r="E13" i="60"/>
  <c r="AL43" i="60"/>
  <c r="AK32" i="63"/>
  <c r="E8" i="58"/>
  <c r="E19" i="60"/>
  <c r="AK46" i="60"/>
  <c r="AK25" i="63"/>
  <c r="AK29" i="58"/>
  <c r="E38" i="65"/>
  <c r="AL8" i="60"/>
  <c r="AK7" i="65"/>
  <c r="AL19" i="65"/>
  <c r="AK20" i="61"/>
  <c r="AK50" i="58"/>
  <c r="AK44" i="64"/>
  <c r="AL51" i="60"/>
  <c r="E29" i="58"/>
  <c r="E10" i="63"/>
  <c r="AL48" i="65"/>
  <c r="AL54" i="63"/>
  <c r="E8" i="57"/>
  <c r="E28" i="63"/>
  <c r="AK8" i="64"/>
  <c r="AK31" i="58"/>
  <c r="AL28" i="57"/>
  <c r="E43" i="60"/>
  <c r="AK10" i="63"/>
  <c r="AL16" i="60"/>
  <c r="E35" i="57"/>
  <c r="AK39" i="65"/>
  <c r="AK12" i="60"/>
  <c r="E44" i="58"/>
  <c r="E25" i="57"/>
  <c r="E40" i="60"/>
  <c r="AL33" i="61"/>
  <c r="AK52" i="57"/>
  <c r="AL61" i="65"/>
  <c r="AL56" i="60"/>
  <c r="AL43" i="63"/>
  <c r="AL39" i="64"/>
  <c r="E61" i="63"/>
  <c r="E44" i="64"/>
  <c r="AK36" i="57"/>
  <c r="AL16" i="65"/>
  <c r="AK14" i="57"/>
  <c r="AL11" i="57"/>
  <c r="AK38" i="64"/>
  <c r="AK33" i="65"/>
  <c r="E30" i="60"/>
  <c r="AK50" i="65"/>
  <c r="AK29" i="64"/>
  <c r="E43" i="61"/>
  <c r="AK7" i="63"/>
  <c r="E41" i="65"/>
  <c r="E10" i="57"/>
  <c r="AK25" i="64"/>
  <c r="AK40" i="65"/>
  <c r="AK54" i="60"/>
  <c r="AK38" i="58"/>
  <c r="AL42" i="64"/>
  <c r="AL46" i="65"/>
  <c r="AL18" i="57"/>
  <c r="AL48" i="63"/>
  <c r="AK40" i="58"/>
  <c r="AK13" i="65"/>
  <c r="AK7" i="64"/>
  <c r="AL51" i="58"/>
  <c r="E46" i="58"/>
  <c r="E24" i="63"/>
  <c r="AK21" i="61"/>
  <c r="AK51" i="57"/>
  <c r="AL53" i="63"/>
  <c r="E54" i="60"/>
  <c r="AK47" i="61"/>
  <c r="AL35" i="61"/>
  <c r="AK36" i="60"/>
  <c r="E23" i="63"/>
  <c r="AL27" i="61"/>
  <c r="AK36" i="63"/>
  <c r="AK23" i="65"/>
  <c r="AL12" i="65"/>
  <c r="E20" i="58"/>
  <c r="E41" i="57"/>
  <c r="E18" i="61"/>
  <c r="E46" i="64"/>
  <c r="AK45" i="65"/>
  <c r="E36" i="63"/>
  <c r="AL30" i="64"/>
  <c r="AK33" i="57"/>
  <c r="AK45" i="60"/>
  <c r="E39" i="58"/>
  <c r="AK21" i="65"/>
  <c r="AK14" i="60"/>
  <c r="E14" i="63"/>
  <c r="AK44" i="65"/>
  <c r="AL7" i="60"/>
  <c r="E30" i="63"/>
  <c r="AL17" i="61"/>
  <c r="E19" i="61"/>
  <c r="E40" i="65"/>
  <c r="AL15" i="60"/>
  <c r="E16" i="58"/>
  <c r="AK25" i="61"/>
  <c r="E43" i="57"/>
  <c r="E17" i="60"/>
  <c r="AL22" i="64"/>
  <c r="E55" i="57"/>
  <c r="AK39" i="63"/>
  <c r="AL37" i="60"/>
  <c r="AL33" i="60"/>
  <c r="E45" i="65"/>
  <c r="AK61" i="64"/>
  <c r="AL28" i="63"/>
  <c r="E50" i="58"/>
  <c r="E21" i="61"/>
  <c r="E12" i="58"/>
  <c r="AK35" i="65"/>
  <c r="E55" i="65"/>
  <c r="AK37" i="65"/>
  <c r="E27" i="64"/>
  <c r="E40" i="63"/>
  <c r="AK22" i="58"/>
  <c r="AK31" i="64"/>
  <c r="AK30" i="57"/>
  <c r="E11" i="65"/>
  <c r="AL13" i="57"/>
  <c r="AK17" i="60"/>
  <c r="E42" i="63"/>
  <c r="AK61" i="61"/>
  <c r="AL26" i="61"/>
  <c r="AK37" i="64"/>
  <c r="E28" i="61"/>
  <c r="AL8" i="61"/>
  <c r="E37" i="65"/>
  <c r="E43" i="64"/>
  <c r="AK42" i="58"/>
  <c r="E43" i="58"/>
  <c r="AL22" i="61"/>
  <c r="E42" i="57"/>
  <c r="AK32" i="57"/>
  <c r="E57" i="57"/>
  <c r="AK27" i="60"/>
  <c r="AK38" i="65"/>
  <c r="AK40" i="63"/>
  <c r="AL43" i="61"/>
  <c r="AL35" i="60"/>
  <c r="E53" i="60"/>
  <c r="E47" i="61"/>
  <c r="AK62" i="63"/>
  <c r="AL13" i="61"/>
  <c r="AK34" i="58"/>
  <c r="AL22" i="63"/>
  <c r="E52" i="65"/>
  <c r="AL27" i="58"/>
  <c r="AK27" i="63"/>
  <c r="AL42" i="63"/>
  <c r="E16" i="64"/>
  <c r="AK24" i="63"/>
  <c r="E27" i="57"/>
  <c r="AK62" i="57"/>
  <c r="E33" i="61"/>
  <c r="AL40" i="64"/>
  <c r="AK11" i="63"/>
  <c r="E32" i="61"/>
  <c r="AK19" i="64"/>
  <c r="AL25" i="58"/>
  <c r="AK26" i="58"/>
  <c r="E55" i="60"/>
  <c r="E40" i="58"/>
  <c r="E54" i="65"/>
  <c r="AK36" i="58"/>
  <c r="AK15" i="61"/>
  <c r="AL18" i="61"/>
  <c r="AL19" i="58"/>
  <c r="E17" i="58"/>
  <c r="E9" i="57"/>
  <c r="AK20" i="64"/>
  <c r="AL49" i="64"/>
  <c r="E48" i="64"/>
  <c r="E56" i="57"/>
  <c r="AL31" i="65"/>
  <c r="AK29" i="63"/>
  <c r="AL16" i="63"/>
  <c r="AL20" i="57"/>
  <c r="E39" i="60"/>
  <c r="AK55" i="60"/>
  <c r="E54" i="58"/>
  <c r="AK11" i="58"/>
  <c r="AL38" i="57"/>
  <c r="AK54" i="58"/>
  <c r="AK29" i="60"/>
  <c r="AL29" i="57"/>
  <c r="AK19" i="63"/>
  <c r="E40" i="57"/>
  <c r="AK49" i="65"/>
  <c r="AK36" i="65"/>
  <c r="AL18" i="63"/>
  <c r="AK11" i="61"/>
  <c r="E29" i="60"/>
  <c r="AL7" i="57"/>
  <c r="AL49" i="58"/>
  <c r="AL45" i="64"/>
  <c r="AL44" i="61"/>
  <c r="AK62" i="64"/>
  <c r="AK35" i="58"/>
  <c r="AL39" i="61"/>
  <c r="AK46" i="61"/>
  <c r="AK50" i="57"/>
  <c r="AL17" i="64"/>
  <c r="AL35" i="64"/>
  <c r="AK18" i="65"/>
  <c r="E26" i="61"/>
  <c r="E22" i="63"/>
  <c r="E30" i="65"/>
  <c r="AK19" i="57"/>
  <c r="AL42" i="65"/>
  <c r="AL26" i="64"/>
  <c r="E48" i="58"/>
  <c r="AK33" i="58"/>
  <c r="AL31" i="61"/>
  <c r="AK36" i="64"/>
  <c r="AL55" i="57"/>
  <c r="E34" i="64"/>
  <c r="E51" i="60"/>
  <c r="AK42" i="57"/>
  <c r="AL32" i="64"/>
  <c r="AL51" i="63"/>
  <c r="AL53" i="57"/>
  <c r="E37" i="61"/>
  <c r="AK49" i="63"/>
  <c r="AL41" i="60"/>
  <c r="E8" i="63"/>
  <c r="AL47" i="63"/>
  <c r="E62" i="61"/>
  <c r="AL15" i="63"/>
  <c r="AK12" i="63"/>
  <c r="AL15" i="65"/>
  <c r="E36" i="60"/>
  <c r="E34" i="60"/>
  <c r="E47" i="57"/>
  <c r="AL47" i="65"/>
  <c r="AK24" i="57"/>
  <c r="AL44" i="58"/>
  <c r="AL33" i="64"/>
  <c r="AK62" i="61"/>
  <c r="E62" i="65"/>
  <c r="AL28" i="64"/>
  <c r="E28" i="65"/>
  <c r="AL15" i="64"/>
  <c r="AL54" i="61"/>
  <c r="AL55" i="63"/>
  <c r="AL13" i="64"/>
  <c r="AL24" i="58"/>
  <c r="AL45" i="63"/>
  <c r="E24" i="60"/>
  <c r="E54" i="57"/>
  <c r="AL23" i="63"/>
  <c r="AK27" i="64"/>
  <c r="AK8" i="58"/>
  <c r="E54" i="61"/>
  <c r="AL55" i="58"/>
  <c r="AK44" i="63"/>
  <c r="AK23" i="57"/>
  <c r="AK24" i="60"/>
  <c r="E30" i="58"/>
  <c r="AL26" i="63"/>
  <c r="E29" i="64"/>
  <c r="E61" i="58"/>
  <c r="AL49" i="60"/>
  <c r="AL32" i="63"/>
  <c r="E62" i="64"/>
  <c r="AL43" i="58"/>
  <c r="AL46" i="60"/>
  <c r="AL53" i="61"/>
  <c r="E38" i="60"/>
  <c r="E17" i="61"/>
  <c r="AK8" i="60"/>
  <c r="AL7" i="65"/>
  <c r="AL10" i="61"/>
  <c r="AK19" i="65"/>
  <c r="AL20" i="61"/>
  <c r="AL37" i="57"/>
  <c r="E39" i="65"/>
  <c r="AK51" i="60"/>
  <c r="AK41" i="63"/>
  <c r="E29" i="65"/>
  <c r="E9" i="64"/>
  <c r="AK48" i="65"/>
  <c r="AK54" i="63"/>
  <c r="AK37" i="61"/>
  <c r="E25" i="64"/>
  <c r="E43" i="63"/>
  <c r="AK28" i="57"/>
  <c r="AL40" i="60"/>
  <c r="E31" i="57"/>
  <c r="AK16" i="60"/>
  <c r="AK45" i="61"/>
  <c r="AL39" i="65"/>
  <c r="AL12" i="60"/>
  <c r="E57" i="58"/>
  <c r="E53" i="64"/>
  <c r="AK51" i="64"/>
  <c r="AK11" i="64"/>
  <c r="AL14" i="64"/>
  <c r="AK33" i="61"/>
  <c r="E14" i="58"/>
  <c r="AK61" i="65"/>
  <c r="AK56" i="60"/>
  <c r="AK43" i="63"/>
  <c r="AK39" i="64"/>
  <c r="AL36" i="57"/>
  <c r="AK16" i="65"/>
  <c r="AL14" i="57"/>
  <c r="E44" i="65"/>
  <c r="AL55" i="61"/>
  <c r="AK30" i="58"/>
  <c r="E42" i="65"/>
  <c r="E19" i="57"/>
  <c r="AL29" i="64"/>
  <c r="AL26" i="60"/>
  <c r="AL38" i="60"/>
  <c r="AL10" i="58"/>
  <c r="E13" i="57"/>
  <c r="AL19" i="60"/>
  <c r="AK25" i="57"/>
  <c r="E36" i="65"/>
  <c r="AK56" i="57"/>
  <c r="AL38" i="58"/>
  <c r="AL49" i="57"/>
  <c r="E49" i="61"/>
  <c r="E50" i="57"/>
  <c r="AK50" i="60"/>
  <c r="AL40" i="58"/>
  <c r="E12" i="57"/>
  <c r="AL7" i="64"/>
  <c r="AK51" i="58"/>
  <c r="AK48" i="64"/>
  <c r="AK61" i="60"/>
  <c r="E30" i="57"/>
  <c r="E33" i="63"/>
  <c r="AK12" i="61"/>
  <c r="AL51" i="57"/>
  <c r="AK53" i="63"/>
  <c r="AL43" i="64"/>
  <c r="E15" i="60"/>
  <c r="AK53" i="58"/>
  <c r="E11" i="64"/>
  <c r="E16" i="61"/>
  <c r="E24" i="61"/>
  <c r="AK27" i="61"/>
  <c r="E62" i="58"/>
  <c r="AL41" i="57"/>
  <c r="AL47" i="60"/>
  <c r="E40" i="61"/>
  <c r="E27" i="65"/>
  <c r="E48" i="65"/>
  <c r="E33" i="60"/>
  <c r="AL45" i="65"/>
  <c r="AL9" i="64"/>
  <c r="AL35" i="63"/>
  <c r="AK34" i="60"/>
  <c r="E20" i="61"/>
  <c r="AL14" i="61"/>
  <c r="E16" i="60"/>
  <c r="AK34" i="63"/>
  <c r="E26" i="64"/>
  <c r="E51" i="64"/>
  <c r="AL44" i="65"/>
  <c r="E23" i="65"/>
  <c r="AK17" i="61"/>
  <c r="E33" i="57"/>
  <c r="E18" i="63"/>
  <c r="AK15" i="60"/>
  <c r="AK23" i="61"/>
  <c r="E34" i="65"/>
  <c r="AL25" i="61"/>
  <c r="E38" i="57"/>
  <c r="E53" i="65"/>
  <c r="AK45" i="57"/>
  <c r="AK9" i="57"/>
  <c r="AL39" i="63"/>
  <c r="E23" i="57"/>
  <c r="AK33" i="60"/>
  <c r="E20" i="57"/>
  <c r="E22" i="61"/>
  <c r="AK51" i="61"/>
  <c r="E13" i="63"/>
  <c r="AK46" i="63"/>
  <c r="AK15" i="58"/>
  <c r="AL23" i="58"/>
  <c r="E28" i="64"/>
  <c r="E21" i="64"/>
  <c r="E23" i="60"/>
  <c r="E39" i="57"/>
  <c r="AL31" i="64"/>
  <c r="AL30" i="57"/>
  <c r="AL32" i="65"/>
  <c r="AK10" i="60"/>
  <c r="AL17" i="60"/>
  <c r="E15" i="58"/>
  <c r="AL61" i="61"/>
  <c r="AK26" i="61"/>
  <c r="AL39" i="58"/>
  <c r="E50" i="65"/>
  <c r="E20" i="65"/>
  <c r="E15" i="61"/>
  <c r="AK8" i="61"/>
  <c r="E30" i="61"/>
  <c r="E52" i="61"/>
  <c r="AK40" i="61"/>
  <c r="AK22" i="61"/>
  <c r="E26" i="57"/>
  <c r="E12" i="64"/>
  <c r="AL32" i="57"/>
  <c r="AL20" i="63"/>
  <c r="E42" i="61"/>
  <c r="AL42" i="60"/>
  <c r="E31" i="58"/>
  <c r="E21" i="60"/>
  <c r="E29" i="57"/>
  <c r="E11" i="61"/>
  <c r="E15" i="63"/>
  <c r="AK13" i="61"/>
  <c r="AL52" i="60"/>
  <c r="AK22" i="63"/>
  <c r="AL13" i="60"/>
  <c r="E35" i="60"/>
  <c r="E20" i="63"/>
  <c r="AL27" i="63"/>
  <c r="AL17" i="63"/>
  <c r="AK34" i="57"/>
  <c r="AK53" i="60"/>
  <c r="AL16" i="58"/>
  <c r="AL21" i="63"/>
  <c r="AK18" i="64"/>
  <c r="AL35" i="57"/>
  <c r="AK40" i="64"/>
  <c r="E32" i="60"/>
  <c r="AL11" i="63"/>
  <c r="E41" i="64"/>
  <c r="E34" i="63"/>
  <c r="AL19" i="64"/>
  <c r="AK23" i="60"/>
  <c r="AK25" i="58"/>
  <c r="E7" i="64"/>
  <c r="E62" i="57"/>
  <c r="AL16" i="64"/>
  <c r="AL36" i="58"/>
  <c r="AL15" i="61"/>
  <c r="AK18" i="61"/>
  <c r="AK19" i="58"/>
  <c r="AL9" i="60"/>
  <c r="AL41" i="64"/>
  <c r="AK32" i="60"/>
  <c r="AK49" i="64"/>
  <c r="E50" i="61"/>
  <c r="AL62" i="58"/>
  <c r="AK31" i="65"/>
  <c r="AL29" i="63"/>
  <c r="AK16" i="63"/>
  <c r="AK20" i="57"/>
  <c r="E49" i="60"/>
  <c r="AL55" i="60"/>
  <c r="AK52" i="61"/>
  <c r="AK11" i="60"/>
  <c r="AK38" i="57"/>
  <c r="AL29" i="60"/>
  <c r="E47" i="63"/>
  <c r="E45" i="63"/>
  <c r="AK29" i="57"/>
  <c r="E8" i="61"/>
  <c r="AL7" i="58"/>
  <c r="AK34" i="64"/>
  <c r="AL50" i="64"/>
  <c r="AL30" i="61"/>
  <c r="AL39" i="57"/>
  <c r="AL31" i="60"/>
  <c r="AL28" i="60"/>
  <c r="E29" i="61"/>
  <c r="AK49" i="58"/>
  <c r="AK45" i="64"/>
  <c r="AK44" i="61"/>
  <c r="AL62" i="64"/>
  <c r="AL35" i="58"/>
  <c r="AK39" i="61"/>
  <c r="E24" i="65"/>
  <c r="AL50" i="57"/>
  <c r="AK17" i="64"/>
  <c r="AL18" i="65"/>
  <c r="AL9" i="61"/>
  <c r="E30" i="64"/>
  <c r="E23" i="58"/>
  <c r="AL18" i="58"/>
  <c r="AK42" i="65"/>
  <c r="AK26" i="64"/>
  <c r="AL22" i="60"/>
  <c r="E38" i="58"/>
  <c r="AL36" i="64"/>
  <c r="E14" i="61"/>
  <c r="AK15" i="57"/>
  <c r="E13" i="58"/>
  <c r="AK61" i="58"/>
  <c r="E22" i="64"/>
  <c r="AK61" i="57"/>
  <c r="AK53" i="57"/>
  <c r="AL9" i="65"/>
  <c r="AK28" i="61"/>
  <c r="AL10" i="65"/>
  <c r="AL10" i="57"/>
  <c r="E33" i="65"/>
  <c r="E42" i="64"/>
  <c r="E36" i="57"/>
  <c r="AK15" i="65"/>
  <c r="AL13" i="58"/>
  <c r="AK19" i="61"/>
  <c r="AL47" i="57"/>
  <c r="AK47" i="65"/>
  <c r="AL24" i="57"/>
  <c r="AK44" i="58"/>
  <c r="AK46" i="58"/>
  <c r="AK31" i="63"/>
  <c r="AK49" i="61"/>
  <c r="AL37" i="63"/>
  <c r="E51" i="63"/>
  <c r="AK54" i="61"/>
  <c r="E8" i="60"/>
  <c r="AK24" i="58"/>
  <c r="AK45" i="63"/>
  <c r="E48" i="61"/>
  <c r="AL46" i="64"/>
  <c r="AK23" i="63"/>
  <c r="AK34" i="65"/>
  <c r="AL8" i="58"/>
  <c r="E61" i="64"/>
  <c r="E24" i="57"/>
  <c r="E21" i="58"/>
  <c r="AL23" i="57"/>
  <c r="E54" i="64"/>
  <c r="AK26" i="63"/>
  <c r="AK32" i="58"/>
  <c r="AK49" i="60"/>
  <c r="AL25" i="60"/>
  <c r="AK25" i="65"/>
  <c r="AK43" i="58"/>
  <c r="E9" i="61"/>
  <c r="AK53" i="61"/>
  <c r="AK55" i="64"/>
  <c r="AK62" i="65"/>
  <c r="E15" i="64"/>
  <c r="AK10" i="61"/>
  <c r="AL48" i="58"/>
  <c r="E33" i="58"/>
  <c r="AL41" i="58"/>
  <c r="E16" i="65"/>
  <c r="AK37" i="57"/>
  <c r="AL44" i="60"/>
  <c r="E7" i="57"/>
  <c r="AL41" i="63"/>
  <c r="AK52" i="58"/>
  <c r="AL21" i="58"/>
  <c r="AL52" i="64"/>
  <c r="AK52" i="65"/>
  <c r="AL37" i="61"/>
  <c r="E13" i="64"/>
  <c r="E22" i="58"/>
  <c r="E61" i="57"/>
  <c r="AL9" i="58"/>
  <c r="AL21" i="64"/>
  <c r="AK40" i="60"/>
  <c r="E36" i="58"/>
  <c r="E29" i="63"/>
  <c r="AL45" i="61"/>
  <c r="E10" i="65"/>
  <c r="AK29" i="61"/>
  <c r="E53" i="57"/>
  <c r="AL51" i="64"/>
  <c r="AL11" i="64"/>
  <c r="AK14" i="64"/>
  <c r="E25" i="63"/>
  <c r="AL8" i="63"/>
  <c r="E12" i="65"/>
  <c r="AK30" i="63"/>
  <c r="AL20" i="60"/>
  <c r="E38" i="64"/>
  <c r="AK29" i="65"/>
  <c r="E14" i="60"/>
  <c r="E17" i="63"/>
  <c r="E33" i="64"/>
  <c r="AK55" i="61"/>
  <c r="AL30" i="58"/>
  <c r="E46" i="63"/>
  <c r="AL56" i="58"/>
  <c r="AK31" i="57"/>
  <c r="AK26" i="60"/>
  <c r="AK38" i="60"/>
  <c r="AK10" i="58"/>
  <c r="E12" i="63"/>
  <c r="E22" i="57"/>
  <c r="AK19" i="60"/>
  <c r="AL25" i="57"/>
  <c r="E25" i="58"/>
  <c r="AL56" i="57"/>
  <c r="AL39" i="60"/>
  <c r="E53" i="58"/>
  <c r="AK49" i="57"/>
  <c r="E46" i="65"/>
  <c r="E49" i="63"/>
  <c r="AL50" i="60"/>
  <c r="E61" i="65"/>
  <c r="E52" i="63"/>
  <c r="AK53" i="65"/>
  <c r="AL48" i="64"/>
  <c r="AL61" i="60"/>
  <c r="AL43" i="65"/>
  <c r="E17" i="57"/>
  <c r="E46" i="60"/>
  <c r="E49" i="64"/>
  <c r="AL12" i="61"/>
  <c r="AK48" i="60"/>
  <c r="AK43" i="64"/>
  <c r="E45" i="64"/>
  <c r="AL53" i="58"/>
  <c r="E39" i="63"/>
  <c r="E34" i="61"/>
  <c r="E36" i="64"/>
  <c r="AK41" i="57"/>
  <c r="AK47" i="60"/>
  <c r="AL43" i="57"/>
  <c r="E31" i="60"/>
  <c r="E27" i="63"/>
  <c r="E18" i="60"/>
  <c r="AL47" i="64"/>
  <c r="E11" i="60"/>
  <c r="AK9" i="64"/>
  <c r="AK35" i="63"/>
  <c r="AL34" i="60"/>
  <c r="E35" i="65"/>
  <c r="AL62" i="60"/>
  <c r="AK14" i="61"/>
  <c r="E27" i="61"/>
  <c r="AL34" i="63"/>
  <c r="AL21" i="60"/>
  <c r="AK16" i="61"/>
  <c r="E38" i="63"/>
  <c r="AL54" i="65"/>
  <c r="E44" i="57"/>
  <c r="AK36" i="61"/>
  <c r="AL23" i="61"/>
  <c r="AL55" i="65"/>
  <c r="E10" i="64"/>
  <c r="AK37" i="58"/>
  <c r="AL45" i="57"/>
  <c r="AL9" i="57"/>
  <c r="AL54" i="64"/>
  <c r="E20" i="60"/>
  <c r="AL38" i="63"/>
  <c r="AL51" i="61"/>
  <c r="AL17" i="58"/>
  <c r="AK8" i="65"/>
  <c r="AL46" i="63"/>
  <c r="AL15" i="58"/>
  <c r="AK23" i="58"/>
  <c r="AK21" i="57"/>
  <c r="E19" i="58"/>
  <c r="E38" i="61"/>
  <c r="AK41" i="61"/>
  <c r="AK32" i="65"/>
  <c r="AL10" i="60"/>
  <c r="AK57" i="57"/>
  <c r="E10" i="61"/>
  <c r="E32" i="58"/>
  <c r="AK39" i="58"/>
  <c r="E45" i="57"/>
  <c r="AL14" i="58"/>
  <c r="AK44" i="57"/>
  <c r="AK42" i="61"/>
  <c r="E16" i="63"/>
  <c r="AK50" i="63"/>
  <c r="E7" i="58"/>
  <c r="AL40" i="61"/>
  <c r="E8" i="64"/>
  <c r="E9" i="58"/>
  <c r="AK20" i="63"/>
  <c r="E11" i="58"/>
  <c r="AK42" i="60"/>
  <c r="E48" i="57"/>
  <c r="AK54" i="57"/>
  <c r="E62" i="63"/>
  <c r="E47" i="64"/>
  <c r="AA9" i="66" l="1"/>
  <c r="AA11" i="66"/>
  <c r="AA10" i="66"/>
  <c r="R14" i="66"/>
  <c r="O14" i="66"/>
  <c r="AM54" i="57"/>
  <c r="AM42" i="60"/>
  <c r="AM20" i="63"/>
  <c r="AG40" i="61"/>
  <c r="AH40" i="61"/>
  <c r="U11" i="58"/>
  <c r="V11" i="58" s="1"/>
  <c r="R13" i="58"/>
  <c r="S13" i="58" s="1"/>
  <c r="R8" i="58"/>
  <c r="O9" i="58"/>
  <c r="U9" i="58"/>
  <c r="V9" i="58" s="1"/>
  <c r="U12" i="58"/>
  <c r="U8" i="58"/>
  <c r="V8" i="58" s="1"/>
  <c r="U13" i="58"/>
  <c r="V13" i="58" s="1"/>
  <c r="U10" i="58"/>
  <c r="R10" i="58"/>
  <c r="U16" i="58" a="1"/>
  <c r="U16" i="58" s="1"/>
  <c r="O16" i="58" a="1"/>
  <c r="O16" i="58" s="1"/>
  <c r="R12" i="58"/>
  <c r="O8" i="58"/>
  <c r="R16" i="58" a="1"/>
  <c r="R16" i="58" s="1"/>
  <c r="R11" i="58"/>
  <c r="R9" i="58"/>
  <c r="O13" i="58"/>
  <c r="O10" i="58"/>
  <c r="O12" i="58"/>
  <c r="O11" i="58"/>
  <c r="AM50" i="63"/>
  <c r="AM42" i="61"/>
  <c r="AM44" i="57"/>
  <c r="AG14" i="58"/>
  <c r="AH14" i="58"/>
  <c r="AM39" i="58"/>
  <c r="AM57" i="57"/>
  <c r="AG10" i="60"/>
  <c r="AH10" i="60"/>
  <c r="AM32" i="65"/>
  <c r="AM41" i="61"/>
  <c r="AM21" i="57"/>
  <c r="AM23" i="58"/>
  <c r="AG15" i="58"/>
  <c r="AH15" i="58"/>
  <c r="AH46" i="63"/>
  <c r="AG46" i="63"/>
  <c r="AM8" i="65"/>
  <c r="AH17" i="58"/>
  <c r="AG17" i="58"/>
  <c r="AG51" i="61"/>
  <c r="AH51" i="61"/>
  <c r="AG38" i="63"/>
  <c r="AH38" i="63"/>
  <c r="AG54" i="64"/>
  <c r="AH54" i="64"/>
  <c r="AG9" i="57"/>
  <c r="AH9" i="57"/>
  <c r="AH45" i="57"/>
  <c r="AG45" i="57"/>
  <c r="AM37" i="58"/>
  <c r="AH55" i="65"/>
  <c r="AG55" i="65"/>
  <c r="AH23" i="61"/>
  <c r="AG23" i="61"/>
  <c r="AM36" i="61"/>
  <c r="AG54" i="65"/>
  <c r="AH54" i="65"/>
  <c r="AM16" i="61"/>
  <c r="AH21" i="60"/>
  <c r="AG21" i="60"/>
  <c r="AH34" i="63"/>
  <c r="AG34" i="63"/>
  <c r="AM14" i="61"/>
  <c r="AG34" i="60"/>
  <c r="AH34" i="60"/>
  <c r="AM35" i="63"/>
  <c r="AM9" i="64"/>
  <c r="AH47" i="64"/>
  <c r="AG47" i="64"/>
  <c r="AG43" i="57"/>
  <c r="AH43" i="57"/>
  <c r="AM47" i="60"/>
  <c r="AM41" i="57"/>
  <c r="AG53" i="58"/>
  <c r="AH53" i="58"/>
  <c r="AM43" i="64"/>
  <c r="AM48" i="60"/>
  <c r="AG12" i="61"/>
  <c r="AH12" i="61"/>
  <c r="AH43" i="65"/>
  <c r="AG43" i="65"/>
  <c r="AH61" i="60"/>
  <c r="AG61" i="60"/>
  <c r="AG48" i="64"/>
  <c r="AH48" i="64"/>
  <c r="AM53" i="65"/>
  <c r="AG50" i="60"/>
  <c r="AH50" i="60"/>
  <c r="AM49" i="57"/>
  <c r="AH39" i="60"/>
  <c r="AG39" i="60"/>
  <c r="AG56" i="57"/>
  <c r="AH56" i="57"/>
  <c r="AH25" i="57"/>
  <c r="AG25" i="57"/>
  <c r="AM19" i="60"/>
  <c r="AM10" i="58"/>
  <c r="AM38" i="60"/>
  <c r="AM26" i="60"/>
  <c r="AM31" i="57"/>
  <c r="AH56" i="58"/>
  <c r="AG56" i="58"/>
  <c r="AG30" i="58"/>
  <c r="AH30" i="58"/>
  <c r="AM55" i="61"/>
  <c r="AM29" i="65"/>
  <c r="AH20" i="60"/>
  <c r="AG20" i="60"/>
  <c r="AM30" i="63"/>
  <c r="AG8" i="63"/>
  <c r="AH8" i="63"/>
  <c r="AM14" i="64"/>
  <c r="AH11" i="64"/>
  <c r="AG11" i="64"/>
  <c r="AH51" i="64"/>
  <c r="AG51" i="64"/>
  <c r="AM29" i="61"/>
  <c r="AH45" i="61"/>
  <c r="AG45" i="61"/>
  <c r="AM40" i="60"/>
  <c r="AG21" i="64"/>
  <c r="AH21" i="64"/>
  <c r="AG9" i="58"/>
  <c r="AH9" i="58"/>
  <c r="AH37" i="61"/>
  <c r="AG37" i="61"/>
  <c r="AM52" i="65"/>
  <c r="AH52" i="64"/>
  <c r="AG52" i="64"/>
  <c r="AH21" i="58"/>
  <c r="AG21" i="58"/>
  <c r="AM52" i="58"/>
  <c r="AG41" i="63"/>
  <c r="AH41" i="63"/>
  <c r="R12" i="57"/>
  <c r="O10" i="57"/>
  <c r="R10" i="57"/>
  <c r="U10" i="57"/>
  <c r="O16" i="57" a="1"/>
  <c r="O16" i="57" s="1"/>
  <c r="U16" i="57" a="1"/>
  <c r="U16" i="57" s="1"/>
  <c r="O8" i="57"/>
  <c r="U11" i="57"/>
  <c r="V11" i="57" s="1"/>
  <c r="O11" i="57"/>
  <c r="R9" i="57"/>
  <c r="U12" i="57"/>
  <c r="R13" i="57"/>
  <c r="S13" i="57" s="1"/>
  <c r="U9" i="57"/>
  <c r="V9" i="57" s="1"/>
  <c r="O13" i="57"/>
  <c r="O9" i="57"/>
  <c r="AA9" i="57" s="1"/>
  <c r="R8" i="57"/>
  <c r="U8" i="57"/>
  <c r="V8" i="57" s="1"/>
  <c r="R16" i="57" a="1"/>
  <c r="R16" i="57" s="1"/>
  <c r="U13" i="57"/>
  <c r="V13" i="57" s="1"/>
  <c r="O12" i="57"/>
  <c r="R11" i="57"/>
  <c r="AH44" i="60"/>
  <c r="AG44" i="60"/>
  <c r="AM37" i="57"/>
  <c r="AH41" i="58"/>
  <c r="AG41" i="58"/>
  <c r="AG48" i="58"/>
  <c r="AH48" i="58"/>
  <c r="AM10" i="61"/>
  <c r="AM62" i="65"/>
  <c r="AM55" i="64"/>
  <c r="AM53" i="61"/>
  <c r="AM43" i="58"/>
  <c r="AM25" i="65"/>
  <c r="AG25" i="60"/>
  <c r="AH25" i="60"/>
  <c r="AM49" i="60"/>
  <c r="AM32" i="58"/>
  <c r="AM26" i="63"/>
  <c r="AG23" i="57"/>
  <c r="AH23" i="57"/>
  <c r="AH8" i="58"/>
  <c r="AG8" i="58"/>
  <c r="AM34" i="65"/>
  <c r="AM23" i="63"/>
  <c r="AG46" i="64"/>
  <c r="AH46" i="64"/>
  <c r="AM45" i="63"/>
  <c r="AM24" i="58"/>
  <c r="AM54" i="61"/>
  <c r="AG37" i="63"/>
  <c r="AH37" i="63"/>
  <c r="AM49" i="61"/>
  <c r="AM31" i="63"/>
  <c r="AM46" i="58"/>
  <c r="AM44" i="58"/>
  <c r="AH24" i="57"/>
  <c r="AG24" i="57"/>
  <c r="AM47" i="65"/>
  <c r="AG47" i="57"/>
  <c r="AH47" i="57"/>
  <c r="AM19" i="61"/>
  <c r="AH13" i="58"/>
  <c r="AG13" i="58"/>
  <c r="AM15" i="65"/>
  <c r="AH10" i="57"/>
  <c r="AG10" i="57"/>
  <c r="AG10" i="65"/>
  <c r="AH10" i="65"/>
  <c r="AM28" i="61"/>
  <c r="AG9" i="65"/>
  <c r="AH9" i="65"/>
  <c r="AM53" i="57"/>
  <c r="AM61" i="57"/>
  <c r="AM61" i="58"/>
  <c r="AM15" i="57"/>
  <c r="AH36" i="64"/>
  <c r="AG36" i="64"/>
  <c r="AH22" i="60"/>
  <c r="AG22" i="60"/>
  <c r="AM26" i="64"/>
  <c r="AM42" i="65"/>
  <c r="AG18" i="58"/>
  <c r="AH18" i="58"/>
  <c r="AG9" i="61"/>
  <c r="AH9" i="61"/>
  <c r="AH18" i="65"/>
  <c r="AG18" i="65"/>
  <c r="AM17" i="64"/>
  <c r="AG50" i="57"/>
  <c r="AH50" i="57"/>
  <c r="AM39" i="61"/>
  <c r="AH35" i="58"/>
  <c r="AG35" i="58"/>
  <c r="AM44" i="61"/>
  <c r="AM45" i="64"/>
  <c r="AM49" i="58"/>
  <c r="AH28" i="60"/>
  <c r="AG28" i="60"/>
  <c r="AG31" i="60"/>
  <c r="AH31" i="60"/>
  <c r="AH39" i="57"/>
  <c r="AG39" i="57"/>
  <c r="AG30" i="61"/>
  <c r="AH30" i="61"/>
  <c r="AH50" i="64"/>
  <c r="AG50" i="64"/>
  <c r="AM34" i="64"/>
  <c r="AG7" i="58"/>
  <c r="AH7" i="58"/>
  <c r="AM29" i="57"/>
  <c r="AG29" i="60"/>
  <c r="AH29" i="60"/>
  <c r="AM38" i="57"/>
  <c r="AM11" i="60"/>
  <c r="AM52" i="61"/>
  <c r="AG55" i="60"/>
  <c r="AH55" i="60"/>
  <c r="AM20" i="57"/>
  <c r="AM16" i="63"/>
  <c r="AG29" i="63"/>
  <c r="AH29" i="63"/>
  <c r="AM31" i="65"/>
  <c r="AM49" i="64"/>
  <c r="AM32" i="60"/>
  <c r="AG41" i="64"/>
  <c r="AH41" i="64"/>
  <c r="AH9" i="60"/>
  <c r="AG9" i="60"/>
  <c r="AM19" i="58"/>
  <c r="AM18" i="61"/>
  <c r="AH15" i="61"/>
  <c r="AG15" i="61"/>
  <c r="AH36" i="58"/>
  <c r="AG36" i="58"/>
  <c r="AG16" i="64"/>
  <c r="AH16" i="64"/>
  <c r="U13" i="64"/>
  <c r="V13" i="64" s="1"/>
  <c r="O10" i="64"/>
  <c r="O9" i="64"/>
  <c r="U9" i="64"/>
  <c r="V9" i="64" s="1"/>
  <c r="O13" i="64"/>
  <c r="P13" i="64" s="1"/>
  <c r="R12" i="64"/>
  <c r="U16" i="64" a="1"/>
  <c r="U16" i="64" s="1"/>
  <c r="O12" i="64"/>
  <c r="O11" i="64"/>
  <c r="R8" i="64"/>
  <c r="R9" i="64"/>
  <c r="R10" i="64"/>
  <c r="U8" i="64"/>
  <c r="V8" i="64" s="1"/>
  <c r="U11" i="64"/>
  <c r="U12" i="64"/>
  <c r="O16" i="64" a="1"/>
  <c r="O16" i="64" s="1"/>
  <c r="R16" i="64" a="1"/>
  <c r="R16" i="64" s="1"/>
  <c r="U10" i="64"/>
  <c r="V10" i="64" s="1"/>
  <c r="R13" i="64"/>
  <c r="R11" i="64"/>
  <c r="S11" i="64" s="1"/>
  <c r="O8" i="64"/>
  <c r="AM25" i="58"/>
  <c r="AM23" i="60"/>
  <c r="AH19" i="64"/>
  <c r="AG19" i="64"/>
  <c r="AH11" i="63"/>
  <c r="AG11" i="63"/>
  <c r="AM40" i="64"/>
  <c r="AH35" i="57"/>
  <c r="AG35" i="57"/>
  <c r="AM18" i="64"/>
  <c r="AG21" i="63"/>
  <c r="AH21" i="63"/>
  <c r="AH16" i="58"/>
  <c r="AG16" i="58"/>
  <c r="AM53" i="60"/>
  <c r="AM34" i="57"/>
  <c r="AH17" i="63"/>
  <c r="AG17" i="63"/>
  <c r="AG27" i="63"/>
  <c r="AH27" i="63"/>
  <c r="AG13" i="60"/>
  <c r="AH13" i="60"/>
  <c r="AM22" i="63"/>
  <c r="AG52" i="60"/>
  <c r="AH52" i="60"/>
  <c r="AM13" i="61"/>
  <c r="AG42" i="60"/>
  <c r="AH42" i="60"/>
  <c r="AH20" i="63"/>
  <c r="AG20" i="63"/>
  <c r="AG32" i="57"/>
  <c r="AH32" i="57"/>
  <c r="AM22" i="61"/>
  <c r="AM40" i="61"/>
  <c r="AM8" i="61"/>
  <c r="AG39" i="58"/>
  <c r="AH39" i="58"/>
  <c r="AM26" i="61"/>
  <c r="AG61" i="61"/>
  <c r="AH61" i="61"/>
  <c r="AH17" i="60"/>
  <c r="AG17" i="60"/>
  <c r="AM10" i="60"/>
  <c r="AG32" i="65"/>
  <c r="AH32" i="65"/>
  <c r="AG30" i="57"/>
  <c r="AH30" i="57"/>
  <c r="AG31" i="64"/>
  <c r="AH31" i="64"/>
  <c r="AH23" i="58"/>
  <c r="AG23" i="58"/>
  <c r="AM15" i="58"/>
  <c r="AM46" i="63"/>
  <c r="AM51" i="61"/>
  <c r="AM33" i="60"/>
  <c r="AH39" i="63"/>
  <c r="AG39" i="63"/>
  <c r="AM9" i="57"/>
  <c r="AM45" i="57"/>
  <c r="AH25" i="61"/>
  <c r="AG25" i="61"/>
  <c r="AM23" i="61"/>
  <c r="AM15" i="60"/>
  <c r="AM17" i="61"/>
  <c r="AH44" i="65"/>
  <c r="AG44" i="65"/>
  <c r="AM34" i="63"/>
  <c r="AH14" i="61"/>
  <c r="AG14" i="61"/>
  <c r="AM34" i="60"/>
  <c r="AH35" i="63"/>
  <c r="AG35" i="63"/>
  <c r="AG9" i="64"/>
  <c r="AH9" i="64"/>
  <c r="AG45" i="65"/>
  <c r="AH45" i="65"/>
  <c r="AH47" i="60"/>
  <c r="AG47" i="60"/>
  <c r="AG41" i="57"/>
  <c r="AH41" i="57"/>
  <c r="AM27" i="61"/>
  <c r="AM53" i="58"/>
  <c r="AH43" i="64"/>
  <c r="AG43" i="64"/>
  <c r="AM53" i="63"/>
  <c r="AG51" i="57"/>
  <c r="AH51" i="57"/>
  <c r="AM12" i="61"/>
  <c r="AM61" i="60"/>
  <c r="AM48" i="64"/>
  <c r="AM51" i="58"/>
  <c r="AG7" i="64"/>
  <c r="AH7" i="64"/>
  <c r="AG40" i="58"/>
  <c r="AH40" i="58"/>
  <c r="AM50" i="60"/>
  <c r="AG49" i="57"/>
  <c r="AH49" i="57"/>
  <c r="AG38" i="58"/>
  <c r="AH38" i="58"/>
  <c r="AM56" i="57"/>
  <c r="AM25" i="57"/>
  <c r="AG19" i="60"/>
  <c r="AH19" i="60"/>
  <c r="AG10" i="58"/>
  <c r="AH10" i="58"/>
  <c r="AG38" i="60"/>
  <c r="AH38" i="60"/>
  <c r="AG26" i="60"/>
  <c r="AH26" i="60"/>
  <c r="AH29" i="64"/>
  <c r="AG29" i="64"/>
  <c r="AM30" i="58"/>
  <c r="AH55" i="61"/>
  <c r="AG55" i="61"/>
  <c r="AG14" i="57"/>
  <c r="AH14" i="57"/>
  <c r="AM16" i="65"/>
  <c r="AG36" i="57"/>
  <c r="AH36" i="57"/>
  <c r="AM39" i="64"/>
  <c r="AM43" i="63"/>
  <c r="AM56" i="60"/>
  <c r="AM61" i="65"/>
  <c r="AM33" i="61"/>
  <c r="AH14" i="64"/>
  <c r="AG14" i="64"/>
  <c r="AM11" i="64"/>
  <c r="AM51" i="64"/>
  <c r="AH12" i="60"/>
  <c r="AG12" i="60"/>
  <c r="AG39" i="65"/>
  <c r="AH39" i="65"/>
  <c r="AM45" i="61"/>
  <c r="AM16" i="60"/>
  <c r="AG40" i="60"/>
  <c r="AH40" i="60"/>
  <c r="AM28" i="57"/>
  <c r="AM37" i="61"/>
  <c r="AM54" i="63"/>
  <c r="AM48" i="65"/>
  <c r="AM41" i="63"/>
  <c r="AM51" i="60"/>
  <c r="AG37" i="57"/>
  <c r="AH37" i="57"/>
  <c r="AH20" i="61"/>
  <c r="AG20" i="61"/>
  <c r="AM19" i="65"/>
  <c r="AH10" i="61"/>
  <c r="AG10" i="61"/>
  <c r="AG7" i="65"/>
  <c r="AH7" i="65"/>
  <c r="AM8" i="60"/>
  <c r="AG53" i="61"/>
  <c r="AH53" i="61"/>
  <c r="AH46" i="60"/>
  <c r="AG46" i="60"/>
  <c r="AH43" i="58"/>
  <c r="AG43" i="58"/>
  <c r="AG32" i="63"/>
  <c r="AH32" i="63"/>
  <c r="AG49" i="60"/>
  <c r="AH49" i="60"/>
  <c r="AG26" i="63"/>
  <c r="AH26" i="63"/>
  <c r="AM24" i="60"/>
  <c r="AM23" i="57"/>
  <c r="AM44" i="63"/>
  <c r="AG55" i="58"/>
  <c r="AH55" i="58"/>
  <c r="AM8" i="58"/>
  <c r="AM27" i="64"/>
  <c r="AH23" i="63"/>
  <c r="AG23" i="63"/>
  <c r="AH45" i="63"/>
  <c r="AG45" i="63"/>
  <c r="AH24" i="58"/>
  <c r="AG24" i="58"/>
  <c r="AG13" i="64"/>
  <c r="AH13" i="64"/>
  <c r="AH55" i="63"/>
  <c r="AG55" i="63"/>
  <c r="AH54" i="61"/>
  <c r="AG54" i="61"/>
  <c r="AH15" i="64"/>
  <c r="AG15" i="64"/>
  <c r="AH28" i="64"/>
  <c r="AG28" i="64"/>
  <c r="AM62" i="61"/>
  <c r="AG33" i="64"/>
  <c r="AH33" i="64"/>
  <c r="AH44" i="58"/>
  <c r="AG44" i="58"/>
  <c r="AM24" i="57"/>
  <c r="AH47" i="65"/>
  <c r="AG47" i="65"/>
  <c r="AH15" i="65"/>
  <c r="AG15" i="65"/>
  <c r="AM12" i="63"/>
  <c r="AH15" i="63"/>
  <c r="AG15" i="63"/>
  <c r="AH47" i="63"/>
  <c r="AG47" i="63"/>
  <c r="AH41" i="60"/>
  <c r="AG41" i="60"/>
  <c r="AM49" i="63"/>
  <c r="AG53" i="57"/>
  <c r="AH53" i="57"/>
  <c r="AH51" i="63"/>
  <c r="AG51" i="63"/>
  <c r="AH32" i="64"/>
  <c r="AG32" i="64"/>
  <c r="AM42" i="57"/>
  <c r="AH55" i="57"/>
  <c r="AG55" i="57"/>
  <c r="AM36" i="64"/>
  <c r="AH31" i="61"/>
  <c r="AG31" i="61"/>
  <c r="AM33" i="58"/>
  <c r="AH26" i="64"/>
  <c r="AG26" i="64"/>
  <c r="AG42" i="65"/>
  <c r="AH42" i="65"/>
  <c r="AM19" i="57"/>
  <c r="AM18" i="65"/>
  <c r="AG35" i="64"/>
  <c r="AH35" i="64"/>
  <c r="AG17" i="64"/>
  <c r="AH17" i="64"/>
  <c r="AM50" i="57"/>
  <c r="AM46" i="61"/>
  <c r="AG39" i="61"/>
  <c r="AH39" i="61"/>
  <c r="AM35" i="58"/>
  <c r="AM62" i="64"/>
  <c r="AH44" i="61"/>
  <c r="AG44" i="61"/>
  <c r="AG45" i="64"/>
  <c r="AH45" i="64"/>
  <c r="AH49" i="58"/>
  <c r="AG49" i="58"/>
  <c r="AH7" i="57"/>
  <c r="AG7" i="57"/>
  <c r="AM11" i="61"/>
  <c r="AG18" i="63"/>
  <c r="AH18" i="63"/>
  <c r="AM36" i="65"/>
  <c r="AM49" i="65"/>
  <c r="AM19" i="63"/>
  <c r="AG29" i="57"/>
  <c r="AH29" i="57"/>
  <c r="AM29" i="60"/>
  <c r="AM54" i="58"/>
  <c r="AH38" i="57"/>
  <c r="AG38" i="57"/>
  <c r="AM11" i="58"/>
  <c r="AM55" i="60"/>
  <c r="AG20" i="57"/>
  <c r="AH20" i="57"/>
  <c r="AH16" i="63"/>
  <c r="AG16" i="63"/>
  <c r="AM29" i="63"/>
  <c r="AH31" i="65"/>
  <c r="AG31" i="65"/>
  <c r="AH49" i="64"/>
  <c r="AG49" i="64"/>
  <c r="AM20" i="64"/>
  <c r="AH19" i="58"/>
  <c r="AG19" i="58"/>
  <c r="AH18" i="61"/>
  <c r="AG18" i="61"/>
  <c r="AM15" i="61"/>
  <c r="AM36" i="58"/>
  <c r="AM26" i="58"/>
  <c r="AG25" i="58"/>
  <c r="AH25" i="58"/>
  <c r="AM19" i="64"/>
  <c r="AM11" i="63"/>
  <c r="AH40" i="64"/>
  <c r="AG40" i="64"/>
  <c r="AM62" i="57"/>
  <c r="AM24" i="63"/>
  <c r="AG42" i="63"/>
  <c r="AH42" i="63"/>
  <c r="AM27" i="63"/>
  <c r="AH27" i="58"/>
  <c r="AG27" i="58"/>
  <c r="AH22" i="63"/>
  <c r="AG22" i="63"/>
  <c r="AM34" i="58"/>
  <c r="AG13" i="61"/>
  <c r="AH13" i="61"/>
  <c r="AM62" i="63"/>
  <c r="AH35" i="60"/>
  <c r="AG35" i="60"/>
  <c r="AH43" i="61"/>
  <c r="AG43" i="61"/>
  <c r="AM40" i="63"/>
  <c r="AM38" i="65"/>
  <c r="AM27" i="60"/>
  <c r="AM32" i="57"/>
  <c r="AG22" i="61"/>
  <c r="AH22" i="61"/>
  <c r="AM42" i="58"/>
  <c r="AG8" i="61"/>
  <c r="AH8" i="61"/>
  <c r="AM37" i="64"/>
  <c r="AH26" i="61"/>
  <c r="AG26" i="61"/>
  <c r="AM61" i="61"/>
  <c r="AM17" i="60"/>
  <c r="AH13" i="57"/>
  <c r="AG13" i="57"/>
  <c r="AM30" i="57"/>
  <c r="AM31" i="64"/>
  <c r="AM22" i="58"/>
  <c r="AM37" i="65"/>
  <c r="AM35" i="65"/>
  <c r="AH28" i="63"/>
  <c r="AG28" i="63"/>
  <c r="AM61" i="64"/>
  <c r="AG33" i="60"/>
  <c r="AH33" i="60"/>
  <c r="AH37" i="60"/>
  <c r="AG37" i="60"/>
  <c r="AM39" i="63"/>
  <c r="AG22" i="64"/>
  <c r="AH22" i="64"/>
  <c r="AM25" i="61"/>
  <c r="AH15" i="60"/>
  <c r="AG15" i="60"/>
  <c r="AG17" i="61"/>
  <c r="AH17" i="61"/>
  <c r="AG7" i="60"/>
  <c r="AH7" i="60"/>
  <c r="AM44" i="65"/>
  <c r="AM14" i="60"/>
  <c r="AM21" i="65"/>
  <c r="AM45" i="60"/>
  <c r="AM33" i="57"/>
  <c r="AH30" i="64"/>
  <c r="AG30" i="64"/>
  <c r="AM45" i="65"/>
  <c r="AH12" i="65"/>
  <c r="AG12" i="65"/>
  <c r="AM23" i="65"/>
  <c r="AM36" i="63"/>
  <c r="AH27" i="61"/>
  <c r="AG27" i="61"/>
  <c r="AM36" i="60"/>
  <c r="AG35" i="61"/>
  <c r="AH35" i="61"/>
  <c r="AM47" i="61"/>
  <c r="AH53" i="63"/>
  <c r="AG53" i="63"/>
  <c r="AM51" i="57"/>
  <c r="AM21" i="61"/>
  <c r="AH51" i="58"/>
  <c r="AG51" i="58"/>
  <c r="AM7" i="64"/>
  <c r="AM13" i="65"/>
  <c r="AM40" i="58"/>
  <c r="AH48" i="63"/>
  <c r="AG48" i="63"/>
  <c r="AG18" i="57"/>
  <c r="AH18" i="57"/>
  <c r="AH46" i="65"/>
  <c r="AG46" i="65"/>
  <c r="AH42" i="64"/>
  <c r="AG42" i="64"/>
  <c r="AM38" i="58"/>
  <c r="AM54" i="60"/>
  <c r="AM40" i="65"/>
  <c r="AM25" i="64"/>
  <c r="AM7" i="63"/>
  <c r="AM29" i="64"/>
  <c r="AM50" i="65"/>
  <c r="AM33" i="65"/>
  <c r="AM38" i="64"/>
  <c r="AG11" i="57"/>
  <c r="AH11" i="57"/>
  <c r="AM14" i="57"/>
  <c r="AG16" i="65"/>
  <c r="AH16" i="65"/>
  <c r="AM36" i="57"/>
  <c r="AG39" i="64"/>
  <c r="AH39" i="64"/>
  <c r="AH43" i="63"/>
  <c r="AG43" i="63"/>
  <c r="AG56" i="60"/>
  <c r="AH56" i="60"/>
  <c r="AG61" i="65"/>
  <c r="AH61" i="65"/>
  <c r="AM52" i="57"/>
  <c r="AH33" i="61"/>
  <c r="AG33" i="61"/>
  <c r="AM12" i="60"/>
  <c r="AM39" i="65"/>
  <c r="AH16" i="60"/>
  <c r="AG16" i="60"/>
  <c r="AM10" i="63"/>
  <c r="AH28" i="57"/>
  <c r="AG28" i="57"/>
  <c r="AM31" i="58"/>
  <c r="AM8" i="64"/>
  <c r="AH54" i="63"/>
  <c r="AG54" i="63"/>
  <c r="AH48" i="65"/>
  <c r="AG48" i="65"/>
  <c r="AH51" i="60"/>
  <c r="AG51" i="60"/>
  <c r="AM44" i="64"/>
  <c r="AM50" i="58"/>
  <c r="AM20" i="61"/>
  <c r="AG19" i="65"/>
  <c r="AH19" i="65"/>
  <c r="AM7" i="65"/>
  <c r="AG8" i="60"/>
  <c r="AH8" i="60"/>
  <c r="AM29" i="58"/>
  <c r="AM25" i="63"/>
  <c r="AM46" i="60"/>
  <c r="AM32" i="63"/>
  <c r="AH43" i="60"/>
  <c r="AG43" i="60"/>
  <c r="AM17" i="57"/>
  <c r="AH16" i="57"/>
  <c r="AG16" i="57"/>
  <c r="AG24" i="60"/>
  <c r="AH24" i="60"/>
  <c r="AH23" i="64"/>
  <c r="AG23" i="64"/>
  <c r="AG52" i="63"/>
  <c r="AH52" i="63"/>
  <c r="AG44" i="63"/>
  <c r="AH44" i="63"/>
  <c r="AM55" i="58"/>
  <c r="AM32" i="61"/>
  <c r="AH27" i="64"/>
  <c r="AG27" i="64"/>
  <c r="AM26" i="57"/>
  <c r="AG30" i="65"/>
  <c r="AH30" i="65"/>
  <c r="AG12" i="57"/>
  <c r="AH12" i="57"/>
  <c r="AH57" i="58"/>
  <c r="AG57" i="58"/>
  <c r="AM13" i="64"/>
  <c r="AM55" i="63"/>
  <c r="AM15" i="64"/>
  <c r="AM28" i="64"/>
  <c r="AM33" i="64"/>
  <c r="AH27" i="65"/>
  <c r="AG27" i="65"/>
  <c r="AH47" i="58"/>
  <c r="AG47" i="58"/>
  <c r="AG48" i="61"/>
  <c r="AH48" i="61"/>
  <c r="AH12" i="63"/>
  <c r="AG12" i="63"/>
  <c r="AM15" i="63"/>
  <c r="AM47" i="63"/>
  <c r="R11" i="65"/>
  <c r="S11" i="65" s="1"/>
  <c r="U12" i="65"/>
  <c r="R8" i="65"/>
  <c r="U9" i="65"/>
  <c r="V9" i="65" s="1"/>
  <c r="R16" i="65" a="1"/>
  <c r="R16" i="65" s="1"/>
  <c r="O13" i="65"/>
  <c r="P13" i="65" s="1"/>
  <c r="U10" i="65"/>
  <c r="V10" i="65" s="1"/>
  <c r="O9" i="65"/>
  <c r="U13" i="65"/>
  <c r="V13" i="65" s="1"/>
  <c r="U16" i="65" a="1"/>
  <c r="U16" i="65" s="1"/>
  <c r="O16" i="65" a="1"/>
  <c r="O16" i="65" s="1"/>
  <c r="U11" i="65"/>
  <c r="U8" i="65"/>
  <c r="V8" i="65" s="1"/>
  <c r="R13" i="65"/>
  <c r="O8" i="65"/>
  <c r="R12" i="65"/>
  <c r="O10" i="65"/>
  <c r="R9" i="65"/>
  <c r="O11" i="65"/>
  <c r="O12" i="65"/>
  <c r="R10" i="65"/>
  <c r="AM41" i="60"/>
  <c r="AG49" i="63"/>
  <c r="AH49" i="63"/>
  <c r="AH8" i="57"/>
  <c r="AG8" i="57"/>
  <c r="AM51" i="63"/>
  <c r="AM32" i="64"/>
  <c r="AH42" i="57"/>
  <c r="AG42" i="57"/>
  <c r="AM55" i="57"/>
  <c r="AH12" i="58"/>
  <c r="AG12" i="58"/>
  <c r="AM31" i="61"/>
  <c r="AH33" i="58"/>
  <c r="AG33" i="58"/>
  <c r="AM14" i="63"/>
  <c r="AG61" i="63"/>
  <c r="AH61" i="63"/>
  <c r="AG19" i="57"/>
  <c r="AH19" i="57"/>
  <c r="AG14" i="65"/>
  <c r="AH14" i="65"/>
  <c r="AG34" i="61"/>
  <c r="AH34" i="61"/>
  <c r="AH18" i="60"/>
  <c r="AG18" i="60"/>
  <c r="U10" i="60"/>
  <c r="R9" i="60"/>
  <c r="R8" i="60"/>
  <c r="O16" i="60" a="1"/>
  <c r="O16" i="60" s="1"/>
  <c r="R16" i="60" a="1"/>
  <c r="R16" i="60" s="1"/>
  <c r="O11" i="60"/>
  <c r="O9" i="60"/>
  <c r="O10" i="60"/>
  <c r="R11" i="60"/>
  <c r="O8" i="60"/>
  <c r="U12" i="60"/>
  <c r="R10" i="60"/>
  <c r="O12" i="60"/>
  <c r="U13" i="60"/>
  <c r="V13" i="60" s="1"/>
  <c r="U11" i="60"/>
  <c r="V11" i="60" s="1"/>
  <c r="U9" i="60"/>
  <c r="V9" i="60" s="1"/>
  <c r="R13" i="60"/>
  <c r="S13" i="60" s="1"/>
  <c r="O13" i="60"/>
  <c r="U8" i="60"/>
  <c r="V8" i="60" s="1"/>
  <c r="R12" i="60"/>
  <c r="U16" i="60" a="1"/>
  <c r="U16" i="60" s="1"/>
  <c r="AM35" i="64"/>
  <c r="AG28" i="58"/>
  <c r="AH28" i="58"/>
  <c r="AG46" i="61"/>
  <c r="AH46" i="61"/>
  <c r="AH13" i="63"/>
  <c r="AG13" i="63"/>
  <c r="AG27" i="57"/>
  <c r="AH27" i="57"/>
  <c r="AH48" i="57"/>
  <c r="AG48" i="57"/>
  <c r="AG28" i="65"/>
  <c r="AH28" i="65"/>
  <c r="AM53" i="64"/>
  <c r="AM24" i="61"/>
  <c r="AG50" i="61"/>
  <c r="AH50" i="61"/>
  <c r="AM7" i="57"/>
  <c r="AH11" i="61"/>
  <c r="AG11" i="61"/>
  <c r="AM18" i="63"/>
  <c r="AG36" i="65"/>
  <c r="AH36" i="65"/>
  <c r="AH49" i="65"/>
  <c r="AG49" i="65"/>
  <c r="AM46" i="57"/>
  <c r="AG19" i="63"/>
  <c r="AH19" i="63"/>
  <c r="AH12" i="64"/>
  <c r="AG12" i="64"/>
  <c r="AH54" i="58"/>
  <c r="AG54" i="58"/>
  <c r="AG11" i="58"/>
  <c r="AH11" i="58"/>
  <c r="AM10" i="64"/>
  <c r="AM38" i="61"/>
  <c r="AM9" i="63"/>
  <c r="AH33" i="63"/>
  <c r="AG33" i="63"/>
  <c r="AG20" i="64"/>
  <c r="AH20" i="64"/>
  <c r="AG11" i="65"/>
  <c r="AH11" i="65"/>
  <c r="AM30" i="60"/>
  <c r="AM51" i="65"/>
  <c r="AG40" i="57"/>
  <c r="AH40" i="57"/>
  <c r="AH20" i="58"/>
  <c r="AG20" i="58"/>
  <c r="AG26" i="58"/>
  <c r="AH26" i="58"/>
  <c r="AM22" i="57"/>
  <c r="AH7" i="61"/>
  <c r="AG7" i="61"/>
  <c r="AH24" i="63"/>
  <c r="AG24" i="63"/>
  <c r="AM42" i="63"/>
  <c r="AM27" i="58"/>
  <c r="AH26" i="65"/>
  <c r="AG26" i="65"/>
  <c r="AH34" i="58"/>
  <c r="AG34" i="58"/>
  <c r="AM24" i="64"/>
  <c r="AG54" i="57"/>
  <c r="AH54" i="57"/>
  <c r="AM35" i="60"/>
  <c r="AM43" i="61"/>
  <c r="AG40" i="63"/>
  <c r="AH40" i="63"/>
  <c r="AH38" i="65"/>
  <c r="AG38" i="65"/>
  <c r="AG27" i="60"/>
  <c r="AH27" i="60"/>
  <c r="AH50" i="63"/>
  <c r="AG50" i="63"/>
  <c r="AH42" i="58"/>
  <c r="AG42" i="58"/>
  <c r="AG42" i="61"/>
  <c r="AH42" i="61"/>
  <c r="AH44" i="57"/>
  <c r="AG44" i="57"/>
  <c r="AM14" i="58"/>
  <c r="AG37" i="64"/>
  <c r="AH37" i="64"/>
  <c r="AG57" i="57"/>
  <c r="AH57" i="57"/>
  <c r="AM13" i="57"/>
  <c r="AG41" i="61"/>
  <c r="AH41" i="61"/>
  <c r="AG22" i="58"/>
  <c r="AH22" i="58"/>
  <c r="AG21" i="57"/>
  <c r="AH21" i="57"/>
  <c r="AH37" i="65"/>
  <c r="AG37" i="65"/>
  <c r="AG35" i="65"/>
  <c r="AH35" i="65"/>
  <c r="AH8" i="65"/>
  <c r="AG8" i="65"/>
  <c r="AM17" i="58"/>
  <c r="AM38" i="63"/>
  <c r="AM28" i="63"/>
  <c r="AG61" i="64"/>
  <c r="AH61" i="64"/>
  <c r="AM54" i="64"/>
  <c r="AM37" i="60"/>
  <c r="AM22" i="64"/>
  <c r="AH37" i="58"/>
  <c r="AG37" i="58"/>
  <c r="AM55" i="65"/>
  <c r="AG36" i="61"/>
  <c r="AH36" i="61"/>
  <c r="AM54" i="65"/>
  <c r="AM7" i="60"/>
  <c r="AH16" i="61"/>
  <c r="AG16" i="61"/>
  <c r="AM21" i="60"/>
  <c r="AH14" i="60"/>
  <c r="AG14" i="60"/>
  <c r="AH21" i="65"/>
  <c r="AG21" i="65"/>
  <c r="AM62" i="60"/>
  <c r="AG45" i="60"/>
  <c r="AH45" i="60"/>
  <c r="AH33" i="57"/>
  <c r="AG33" i="57"/>
  <c r="AM30" i="64"/>
  <c r="AM47" i="64"/>
  <c r="AM43" i="57"/>
  <c r="AM12" i="65"/>
  <c r="AH23" i="65"/>
  <c r="AG23" i="65"/>
  <c r="AG36" i="63"/>
  <c r="AH36" i="63"/>
  <c r="AH36" i="60"/>
  <c r="AG36" i="60"/>
  <c r="AM35" i="61"/>
  <c r="AH47" i="61"/>
  <c r="AG47" i="61"/>
  <c r="AG48" i="60"/>
  <c r="AH48" i="60"/>
  <c r="AH21" i="61"/>
  <c r="AG21" i="61"/>
  <c r="AM43" i="65"/>
  <c r="AG53" i="65"/>
  <c r="AH53" i="65"/>
  <c r="AH13" i="65"/>
  <c r="AG13" i="65"/>
  <c r="AM48" i="63"/>
  <c r="AM18" i="57"/>
  <c r="AM46" i="65"/>
  <c r="AM42" i="64"/>
  <c r="AM39" i="60"/>
  <c r="AH54" i="60"/>
  <c r="AG54" i="60"/>
  <c r="AG40" i="65"/>
  <c r="AH40" i="65"/>
  <c r="AG25" i="64"/>
  <c r="AH25" i="64"/>
  <c r="O11" i="63"/>
  <c r="O9" i="63"/>
  <c r="U13" i="63"/>
  <c r="V13" i="63" s="1"/>
  <c r="R16" i="63" a="1"/>
  <c r="R16" i="63" s="1"/>
  <c r="R10" i="63"/>
  <c r="R9" i="63"/>
  <c r="R12" i="63"/>
  <c r="O12" i="63"/>
  <c r="U12" i="63"/>
  <c r="R13" i="63"/>
  <c r="U9" i="63"/>
  <c r="V9" i="63" s="1"/>
  <c r="R8" i="63"/>
  <c r="U10" i="63"/>
  <c r="V10" i="63" s="1"/>
  <c r="U11" i="63"/>
  <c r="U8" i="63"/>
  <c r="V8" i="63" s="1"/>
  <c r="O8" i="63"/>
  <c r="O13" i="63"/>
  <c r="P13" i="63" s="1"/>
  <c r="R11" i="63"/>
  <c r="S11" i="63" s="1"/>
  <c r="O10" i="63"/>
  <c r="U16" i="63" a="1"/>
  <c r="U16" i="63" s="1"/>
  <c r="O16" i="63" a="1"/>
  <c r="O16" i="63" s="1"/>
  <c r="AH7" i="63"/>
  <c r="AG7" i="63"/>
  <c r="AH31" i="57"/>
  <c r="AG31" i="57"/>
  <c r="AM56" i="58"/>
  <c r="AH50" i="65"/>
  <c r="AG50" i="65"/>
  <c r="AG33" i="65"/>
  <c r="AH33" i="65"/>
  <c r="AG38" i="64"/>
  <c r="AH38" i="64"/>
  <c r="AM11" i="57"/>
  <c r="AG29" i="65"/>
  <c r="AH29" i="65"/>
  <c r="AM20" i="60"/>
  <c r="AG30" i="63"/>
  <c r="AH30" i="63"/>
  <c r="AM8" i="63"/>
  <c r="AG52" i="57"/>
  <c r="AH52" i="57"/>
  <c r="AH29" i="61"/>
  <c r="AG29" i="61"/>
  <c r="AG10" i="63"/>
  <c r="AH10" i="63"/>
  <c r="AM21" i="64"/>
  <c r="AM9" i="58"/>
  <c r="AH31" i="58"/>
  <c r="AG31" i="58"/>
  <c r="AH8" i="64"/>
  <c r="AG8" i="64"/>
  <c r="AG52" i="65"/>
  <c r="AH52" i="65"/>
  <c r="AM52" i="64"/>
  <c r="AM21" i="58"/>
  <c r="AG52" i="58"/>
  <c r="AH52" i="58"/>
  <c r="AM44" i="60"/>
  <c r="AH44" i="64"/>
  <c r="AG44" i="64"/>
  <c r="AH50" i="58"/>
  <c r="AG50" i="58"/>
  <c r="AM41" i="58"/>
  <c r="AM48" i="58"/>
  <c r="AH55" i="64"/>
  <c r="AG55" i="64"/>
  <c r="AH29" i="58"/>
  <c r="AG29" i="58"/>
  <c r="AG25" i="63"/>
  <c r="AH25" i="63"/>
  <c r="AH25" i="65"/>
  <c r="AG25" i="65"/>
  <c r="AM25" i="60"/>
  <c r="AM43" i="60"/>
  <c r="AH32" i="58"/>
  <c r="AG32" i="58"/>
  <c r="AG17" i="57"/>
  <c r="AH17" i="57"/>
  <c r="AM16" i="57"/>
  <c r="AM23" i="64"/>
  <c r="AM52" i="63"/>
  <c r="AG32" i="61"/>
  <c r="AH32" i="61"/>
  <c r="AG34" i="65"/>
  <c r="AH34" i="65"/>
  <c r="AM46" i="64"/>
  <c r="AG26" i="57"/>
  <c r="AH26" i="57"/>
  <c r="AM30" i="65"/>
  <c r="AM12" i="57"/>
  <c r="AM57" i="58"/>
  <c r="AM37" i="63"/>
  <c r="AG49" i="61"/>
  <c r="AH49" i="61"/>
  <c r="AG31" i="63"/>
  <c r="AH31" i="63"/>
  <c r="AG46" i="58"/>
  <c r="AH46" i="58"/>
  <c r="AM27" i="65"/>
  <c r="AM47" i="58"/>
  <c r="AM47" i="57"/>
  <c r="AG19" i="61"/>
  <c r="AH19" i="61"/>
  <c r="AM13" i="58"/>
  <c r="AM48" i="61"/>
  <c r="O13" i="61"/>
  <c r="U10" i="61"/>
  <c r="V10" i="61" s="1"/>
  <c r="R10" i="61"/>
  <c r="AA10" i="61" s="1"/>
  <c r="R13" i="61"/>
  <c r="O12" i="61"/>
  <c r="U9" i="61"/>
  <c r="V9" i="61" s="1"/>
  <c r="O9" i="61"/>
  <c r="AA9" i="61" s="1"/>
  <c r="R11" i="61"/>
  <c r="O8" i="61"/>
  <c r="R9" i="61"/>
  <c r="U16" i="61" a="1"/>
  <c r="U16" i="61" s="1"/>
  <c r="R16" i="61" a="1"/>
  <c r="R16" i="61" s="1"/>
  <c r="U13" i="61"/>
  <c r="V13" i="61" s="1"/>
  <c r="O10" i="61"/>
  <c r="O11" i="61"/>
  <c r="U8" i="61"/>
  <c r="V8" i="61" s="1"/>
  <c r="U12" i="61"/>
  <c r="R8" i="61"/>
  <c r="O16" i="61" a="1"/>
  <c r="O16" i="61" s="1"/>
  <c r="U11" i="61"/>
  <c r="R12" i="61"/>
  <c r="AM10" i="57"/>
  <c r="AM10" i="65"/>
  <c r="AH28" i="61"/>
  <c r="AG28" i="61"/>
  <c r="AM9" i="65"/>
  <c r="AM8" i="57"/>
  <c r="AG61" i="57"/>
  <c r="AH61" i="57"/>
  <c r="AG61" i="58"/>
  <c r="AH61" i="58"/>
  <c r="AH15" i="57"/>
  <c r="AG15" i="57"/>
  <c r="AM12" i="58"/>
  <c r="AM22" i="60"/>
  <c r="AG14" i="63"/>
  <c r="AH14" i="63"/>
  <c r="AM61" i="63"/>
  <c r="AM18" i="58"/>
  <c r="AM14" i="65"/>
  <c r="AM34" i="61"/>
  <c r="AM9" i="61"/>
  <c r="AM18" i="60"/>
  <c r="AM28" i="58"/>
  <c r="AM13" i="63"/>
  <c r="AM27" i="57"/>
  <c r="AM48" i="57"/>
  <c r="AM28" i="65"/>
  <c r="AG53" i="64"/>
  <c r="AH53" i="64"/>
  <c r="AG24" i="61"/>
  <c r="AH24" i="61"/>
  <c r="AM50" i="61"/>
  <c r="AM28" i="60"/>
  <c r="AM31" i="60"/>
  <c r="AM39" i="57"/>
  <c r="AM30" i="61"/>
  <c r="AM50" i="64"/>
  <c r="AG34" i="64"/>
  <c r="AH34" i="64"/>
  <c r="AM7" i="58"/>
  <c r="AG46" i="57"/>
  <c r="AH46" i="57"/>
  <c r="AM12" i="64"/>
  <c r="AG11" i="60"/>
  <c r="AH11" i="60"/>
  <c r="AH52" i="61"/>
  <c r="AG52" i="61"/>
  <c r="AG10" i="64"/>
  <c r="AH10" i="64"/>
  <c r="AG38" i="61"/>
  <c r="AH38" i="61"/>
  <c r="AH9" i="63"/>
  <c r="AG9" i="63"/>
  <c r="AM62" i="58"/>
  <c r="AM33" i="63"/>
  <c r="AG32" i="60"/>
  <c r="AH32" i="60"/>
  <c r="AM41" i="64"/>
  <c r="AM9" i="60"/>
  <c r="AM11" i="65"/>
  <c r="AH30" i="60"/>
  <c r="AG30" i="60"/>
  <c r="AH51" i="65"/>
  <c r="AG51" i="65"/>
  <c r="AM16" i="64"/>
  <c r="AM40" i="57"/>
  <c r="AM20" i="58"/>
  <c r="AH23" i="60"/>
  <c r="AG23" i="60"/>
  <c r="AG22" i="57"/>
  <c r="AH22" i="57"/>
  <c r="AM7" i="61"/>
  <c r="AM35" i="57"/>
  <c r="AG18" i="64"/>
  <c r="AH18" i="64"/>
  <c r="AM21" i="63"/>
  <c r="AM16" i="58"/>
  <c r="AG53" i="60"/>
  <c r="AH53" i="60"/>
  <c r="AG34" i="57"/>
  <c r="AH34" i="57"/>
  <c r="AM17" i="63"/>
  <c r="AM13" i="60"/>
  <c r="AM26" i="65"/>
  <c r="AM52" i="60"/>
  <c r="AG24" i="64"/>
  <c r="AH24" i="64"/>
  <c r="U14" i="66"/>
  <c r="P11" i="66"/>
  <c r="AA11" i="64"/>
  <c r="P9" i="66"/>
  <c r="R14" i="60"/>
  <c r="S9" i="60" s="1"/>
  <c r="AA10" i="57"/>
  <c r="AA12" i="57"/>
  <c r="P10" i="66"/>
  <c r="P8" i="66"/>
  <c r="P14" i="66"/>
  <c r="AA8" i="65"/>
  <c r="AA13" i="60"/>
  <c r="AA12" i="64"/>
  <c r="AA9" i="64"/>
  <c r="AA13" i="61"/>
  <c r="O14" i="57"/>
  <c r="P9" i="57" s="1"/>
  <c r="AA13" i="64"/>
  <c r="U14" i="64"/>
  <c r="V14" i="64" s="1"/>
  <c r="AA13" i="65"/>
  <c r="AA13" i="58"/>
  <c r="BF43" i="81"/>
  <c r="BH43" i="81"/>
  <c r="BI43" i="81"/>
  <c r="BG43" i="81"/>
  <c r="BC45" i="81"/>
  <c r="BD44" i="81"/>
  <c r="O14" i="58"/>
  <c r="P9" i="58" s="1"/>
  <c r="U14" i="65"/>
  <c r="V11" i="65" s="1"/>
  <c r="AA10" i="60"/>
  <c r="AA11" i="60"/>
  <c r="R14" i="64"/>
  <c r="S9" i="64" s="1"/>
  <c r="R14" i="57"/>
  <c r="S9" i="57" s="1"/>
  <c r="AA8" i="57"/>
  <c r="AA11" i="65"/>
  <c r="AA14" i="66"/>
  <c r="AA12" i="65"/>
  <c r="AA11" i="58"/>
  <c r="AA9" i="65"/>
  <c r="U14" i="58"/>
  <c r="V10" i="58" s="1"/>
  <c r="AA12" i="60"/>
  <c r="AA9" i="58"/>
  <c r="R14" i="58"/>
  <c r="S11" i="58" s="1"/>
  <c r="AA10" i="65"/>
  <c r="O14" i="65"/>
  <c r="AA10" i="64"/>
  <c r="AA12" i="58"/>
  <c r="S10" i="66"/>
  <c r="R5" i="66"/>
  <c r="S11" i="66"/>
  <c r="S8" i="66"/>
  <c r="S12" i="66"/>
  <c r="S9" i="66"/>
  <c r="S14" i="66"/>
  <c r="S13" i="66"/>
  <c r="AA11" i="57"/>
  <c r="AA8" i="58"/>
  <c r="AA10" i="58"/>
  <c r="U14" i="60"/>
  <c r="O14" i="64"/>
  <c r="AA8" i="64"/>
  <c r="AA12" i="61"/>
  <c r="U14" i="57"/>
  <c r="AA8" i="60"/>
  <c r="O14" i="60"/>
  <c r="R14" i="65"/>
  <c r="AA11" i="63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U11" i="7"/>
  <c r="O14" i="63" l="1"/>
  <c r="P8" i="63" s="1"/>
  <c r="R14" i="63"/>
  <c r="S14" i="63" s="1"/>
  <c r="AA12" i="63"/>
  <c r="U14" i="61"/>
  <c r="V11" i="61" s="1"/>
  <c r="P12" i="57"/>
  <c r="AA10" i="63"/>
  <c r="AA9" i="60"/>
  <c r="AA14" i="60" s="1"/>
  <c r="S12" i="57"/>
  <c r="AA11" i="61"/>
  <c r="O5" i="66"/>
  <c r="P12" i="66"/>
  <c r="AA8" i="61"/>
  <c r="AA14" i="61" s="1"/>
  <c r="R14" i="61"/>
  <c r="S8" i="61" s="1"/>
  <c r="AA13" i="57"/>
  <c r="AA9" i="63"/>
  <c r="AA13" i="63"/>
  <c r="O14" i="61"/>
  <c r="P10" i="61" s="1"/>
  <c r="U14" i="63"/>
  <c r="V12" i="63" s="1"/>
  <c r="U5" i="66"/>
  <c r="V14" i="66"/>
  <c r="AA8" i="63"/>
  <c r="P8" i="57"/>
  <c r="P11" i="57"/>
  <c r="S10" i="60"/>
  <c r="V14" i="65"/>
  <c r="R5" i="60"/>
  <c r="U5" i="65"/>
  <c r="S11" i="60"/>
  <c r="S8" i="60"/>
  <c r="U5" i="58"/>
  <c r="V12" i="65"/>
  <c r="S14" i="60"/>
  <c r="S12" i="60"/>
  <c r="S11" i="57"/>
  <c r="S8" i="57"/>
  <c r="O5" i="57"/>
  <c r="P10" i="57"/>
  <c r="P12" i="63"/>
  <c r="V11" i="63"/>
  <c r="S10" i="61"/>
  <c r="S12" i="64"/>
  <c r="P11" i="61"/>
  <c r="R5" i="61"/>
  <c r="S14" i="64"/>
  <c r="P14" i="57"/>
  <c r="R5" i="64"/>
  <c r="O5" i="63"/>
  <c r="P10" i="63"/>
  <c r="S9" i="61"/>
  <c r="P9" i="63"/>
  <c r="P11" i="58"/>
  <c r="V12" i="61"/>
  <c r="S14" i="61"/>
  <c r="P13" i="58"/>
  <c r="P10" i="58"/>
  <c r="P12" i="58"/>
  <c r="P13" i="57"/>
  <c r="S13" i="64"/>
  <c r="S10" i="64"/>
  <c r="S8" i="64"/>
  <c r="P11" i="63"/>
  <c r="P8" i="58"/>
  <c r="P14" i="63"/>
  <c r="S12" i="61"/>
  <c r="S11" i="61"/>
  <c r="O5" i="61"/>
  <c r="S13" i="61"/>
  <c r="O5" i="58"/>
  <c r="U5" i="64"/>
  <c r="V12" i="64"/>
  <c r="R5" i="57"/>
  <c r="S14" i="57"/>
  <c r="S10" i="57"/>
  <c r="V11" i="64"/>
  <c r="P14" i="58"/>
  <c r="AA14" i="65"/>
  <c r="AA14" i="58"/>
  <c r="BG44" i="81"/>
  <c r="BI44" i="81"/>
  <c r="BH44" i="81"/>
  <c r="BF44" i="81"/>
  <c r="AA14" i="57"/>
  <c r="BD45" i="81"/>
  <c r="BC46" i="81"/>
  <c r="P13" i="61"/>
  <c r="P8" i="61"/>
  <c r="S13" i="63"/>
  <c r="P14" i="61"/>
  <c r="P12" i="61"/>
  <c r="P9" i="61"/>
  <c r="V14" i="58"/>
  <c r="R5" i="63"/>
  <c r="S8" i="63"/>
  <c r="S12" i="63"/>
  <c r="S9" i="63"/>
  <c r="S10" i="63"/>
  <c r="V12" i="58"/>
  <c r="AA14" i="64"/>
  <c r="S8" i="58"/>
  <c r="S9" i="58"/>
  <c r="R5" i="58"/>
  <c r="S10" i="58"/>
  <c r="S12" i="58"/>
  <c r="S14" i="58"/>
  <c r="V12" i="60"/>
  <c r="U5" i="60"/>
  <c r="V10" i="60"/>
  <c r="V14" i="60"/>
  <c r="S12" i="65"/>
  <c r="S8" i="65"/>
  <c r="R5" i="65"/>
  <c r="S14" i="65"/>
  <c r="S9" i="65"/>
  <c r="S13" i="65"/>
  <c r="P9" i="65"/>
  <c r="P10" i="65"/>
  <c r="P14" i="65"/>
  <c r="P11" i="65"/>
  <c r="O5" i="65"/>
  <c r="P8" i="65"/>
  <c r="P14" i="60"/>
  <c r="P11" i="60"/>
  <c r="P13" i="60"/>
  <c r="P9" i="60"/>
  <c r="P12" i="60"/>
  <c r="O5" i="60"/>
  <c r="P8" i="60"/>
  <c r="P10" i="60"/>
  <c r="V10" i="57"/>
  <c r="V14" i="57"/>
  <c r="U5" i="57"/>
  <c r="V12" i="57"/>
  <c r="S10" i="65"/>
  <c r="P9" i="64"/>
  <c r="O5" i="64"/>
  <c r="P14" i="64"/>
  <c r="P10" i="64"/>
  <c r="P12" i="64"/>
  <c r="P8" i="64"/>
  <c r="P11" i="64"/>
  <c r="P12" i="65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U5" i="61" l="1"/>
  <c r="V14" i="61"/>
  <c r="AA14" i="63"/>
  <c r="U5" i="63"/>
  <c r="V14" i="6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BC48" i="81" l="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BF47" i="81" l="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H48" i="81" l="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51" i="81" l="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F50" i="81" l="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I51" i="81" l="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H52" i="81" l="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F53" i="81" l="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H54" i="81" l="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F55" i="81" l="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H56" i="81" l="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K4" i="56"/>
  <c r="AJ4" i="56"/>
  <c r="AJ2" i="56" s="1"/>
  <c r="G3" i="56"/>
  <c r="AL2" i="56"/>
  <c r="AK2" i="56"/>
  <c r="E2" i="56"/>
  <c r="E3" i="56" s="1"/>
  <c r="A1" i="56"/>
  <c r="G59" i="56"/>
  <c r="E6" i="56"/>
  <c r="AJ50" i="56"/>
  <c r="G15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AJ58" i="56"/>
  <c r="AJ11" i="56"/>
  <c r="G58" i="55"/>
  <c r="G51" i="56"/>
  <c r="AJ9" i="56"/>
  <c r="AJ17" i="56"/>
  <c r="AJ56" i="56"/>
  <c r="G43" i="56"/>
  <c r="AJ49" i="56"/>
  <c r="E6" i="55"/>
  <c r="G23" i="56"/>
  <c r="G22" i="56"/>
  <c r="AJ51" i="56"/>
  <c r="AJ59" i="56"/>
  <c r="AJ48" i="56"/>
  <c r="AJ10" i="56"/>
  <c r="G61" i="56"/>
  <c r="G27" i="56"/>
  <c r="AJ44" i="56"/>
  <c r="G11" i="56"/>
  <c r="G28" i="56"/>
  <c r="G55" i="56"/>
  <c r="G46" i="56"/>
  <c r="G15" i="55"/>
  <c r="AJ54" i="56"/>
  <c r="AJ42" i="56"/>
  <c r="G50" i="56"/>
  <c r="G25" i="56"/>
  <c r="G18" i="56"/>
  <c r="AJ14" i="56"/>
  <c r="G31" i="56"/>
  <c r="G37" i="56"/>
  <c r="AJ63" i="56"/>
  <c r="AJ19" i="56"/>
  <c r="AJ12" i="56"/>
  <c r="G36" i="56"/>
  <c r="G62" i="56"/>
  <c r="G9" i="56"/>
  <c r="AJ29" i="56"/>
  <c r="G40" i="56"/>
  <c r="AJ47" i="56"/>
  <c r="G58" i="56"/>
  <c r="AK50" i="56"/>
  <c r="AJ35" i="56"/>
  <c r="G33" i="56"/>
  <c r="AJ40" i="56"/>
  <c r="AJ55" i="56"/>
  <c r="AJ34" i="56"/>
  <c r="G24" i="56"/>
  <c r="AJ16" i="56"/>
  <c r="G16" i="56"/>
  <c r="G35" i="56"/>
  <c r="AJ52" i="56"/>
  <c r="G38" i="56"/>
  <c r="AJ32" i="56"/>
  <c r="AJ31" i="56"/>
  <c r="AL50" i="56"/>
  <c r="AJ26" i="56"/>
  <c r="G17" i="56"/>
  <c r="AJ66" i="56"/>
  <c r="AJ18" i="56"/>
  <c r="G14" i="56"/>
  <c r="G32" i="56"/>
  <c r="AJ33" i="55"/>
  <c r="AJ21" i="56"/>
  <c r="AJ64" i="56"/>
  <c r="G45" i="56"/>
  <c r="G42" i="56"/>
  <c r="G57" i="56"/>
  <c r="AJ57" i="56"/>
  <c r="AJ46" i="56"/>
  <c r="AJ43" i="56"/>
  <c r="G19" i="56"/>
  <c r="AJ33" i="56"/>
  <c r="AJ7" i="56"/>
  <c r="AJ61" i="56"/>
  <c r="AJ53" i="56"/>
  <c r="AJ45" i="56"/>
  <c r="G41" i="56"/>
  <c r="AJ28" i="56"/>
  <c r="G13" i="56"/>
  <c r="G54" i="56"/>
  <c r="G12" i="56"/>
  <c r="G44" i="56"/>
  <c r="G56" i="56"/>
  <c r="AJ38" i="56"/>
  <c r="AJ12" i="55"/>
  <c r="AJ25" i="56"/>
  <c r="G10" i="56"/>
  <c r="AJ60" i="56"/>
  <c r="G20" i="56"/>
  <c r="AJ22" i="56"/>
  <c r="G8" i="56"/>
  <c r="AJ20" i="56"/>
  <c r="G52" i="56"/>
  <c r="AJ27" i="56"/>
  <c r="G29" i="56"/>
  <c r="G47" i="56"/>
  <c r="G34" i="56"/>
  <c r="AJ24" i="56"/>
  <c r="G39" i="56"/>
  <c r="AJ23" i="56"/>
  <c r="G26" i="56"/>
  <c r="AJ30" i="56"/>
  <c r="G30" i="56"/>
  <c r="AJ39" i="56"/>
  <c r="AJ62" i="56"/>
  <c r="AJ36" i="56"/>
  <c r="G53" i="56"/>
  <c r="AJ67" i="56"/>
  <c r="AJ15" i="56"/>
  <c r="AJ13" i="56"/>
  <c r="AJ37" i="56"/>
  <c r="G49" i="56"/>
  <c r="AJ65" i="56"/>
  <c r="E15" i="56"/>
  <c r="AJ41" i="56"/>
  <c r="G21" i="56"/>
  <c r="G48" i="56"/>
  <c r="AJ8" i="56"/>
  <c r="G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G22" i="55"/>
  <c r="E22" i="56"/>
  <c r="AJ15" i="55"/>
  <c r="AJ32" i="55"/>
  <c r="E19" i="56"/>
  <c r="AJ7" i="55"/>
  <c r="E11" i="56"/>
  <c r="E27" i="56"/>
  <c r="G48" i="55"/>
  <c r="G52" i="55"/>
  <c r="AJ28" i="55"/>
  <c r="G62" i="55"/>
  <c r="AJ18" i="55"/>
  <c r="AJ8" i="55"/>
  <c r="E9" i="56"/>
  <c r="E17" i="56"/>
  <c r="G7" i="55"/>
  <c r="E33" i="56"/>
  <c r="AJ35" i="55"/>
  <c r="E12" i="56"/>
  <c r="AJ9" i="55"/>
  <c r="AJ26" i="55"/>
  <c r="AJ34" i="55"/>
  <c r="AJ24" i="55"/>
  <c r="G20" i="55"/>
  <c r="E8" i="56"/>
  <c r="AJ11" i="55"/>
  <c r="E49" i="56"/>
  <c r="AJ13" i="55"/>
  <c r="AJ21" i="55"/>
  <c r="AJ14" i="55"/>
  <c r="E25" i="56"/>
  <c r="AJ30" i="55"/>
  <c r="E7" i="56"/>
  <c r="AJ16" i="55"/>
  <c r="G17" i="55"/>
  <c r="AJ10" i="55"/>
  <c r="E10" i="56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M14" i="54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C78" i="54" l="1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E31" i="56"/>
  <c r="AL18" i="55"/>
  <c r="AJ37" i="54"/>
  <c r="AJ52" i="54"/>
  <c r="AJ20" i="54"/>
  <c r="AJ21" i="54"/>
  <c r="AJ46" i="54"/>
  <c r="AJ66" i="54"/>
  <c r="AK56" i="56"/>
  <c r="AK34" i="56"/>
  <c r="G22" i="54"/>
  <c r="G8" i="55"/>
  <c r="AK25" i="56"/>
  <c r="G13" i="54"/>
  <c r="AJ15" i="54"/>
  <c r="AL27" i="56"/>
  <c r="G40" i="55"/>
  <c r="G50" i="55"/>
  <c r="E32" i="56"/>
  <c r="E34" i="56"/>
  <c r="AK51" i="56"/>
  <c r="AJ47" i="55"/>
  <c r="AL24" i="56"/>
  <c r="G20" i="54"/>
  <c r="AK10" i="56"/>
  <c r="AK14" i="56"/>
  <c r="AJ9" i="54"/>
  <c r="E18" i="56"/>
  <c r="G9" i="54"/>
  <c r="AL49" i="56"/>
  <c r="AK13" i="55"/>
  <c r="E36" i="56"/>
  <c r="G52" i="54"/>
  <c r="AL33" i="56"/>
  <c r="AL48" i="56"/>
  <c r="AJ19" i="54"/>
  <c r="G7" i="54"/>
  <c r="AJ12" i="54"/>
  <c r="AL21" i="55"/>
  <c r="AJ43" i="55"/>
  <c r="AK62" i="56"/>
  <c r="AJ59" i="55"/>
  <c r="AL14" i="56"/>
  <c r="E7" i="55"/>
  <c r="G46" i="55"/>
  <c r="G37" i="55"/>
  <c r="G63" i="54"/>
  <c r="AL43" i="56"/>
  <c r="AJ25" i="55"/>
  <c r="AK27" i="56"/>
  <c r="AJ42" i="55"/>
  <c r="AJ36" i="55"/>
  <c r="AL12" i="55"/>
  <c r="AJ35" i="54"/>
  <c r="AK29" i="56"/>
  <c r="AJ33" i="54"/>
  <c r="AK8" i="56"/>
  <c r="AL9" i="56"/>
  <c r="AJ57" i="54"/>
  <c r="AL13" i="55"/>
  <c r="AJ60" i="55"/>
  <c r="G40" i="54"/>
  <c r="G33" i="55"/>
  <c r="AL10" i="55"/>
  <c r="E24" i="56"/>
  <c r="AJ66" i="55"/>
  <c r="E26" i="56"/>
  <c r="G25" i="55"/>
  <c r="G32" i="54"/>
  <c r="AL12" i="56"/>
  <c r="AJ47" i="54"/>
  <c r="G53" i="54"/>
  <c r="AK43" i="56"/>
  <c r="AK41" i="56"/>
  <c r="AL16" i="55"/>
  <c r="AL14" i="55"/>
  <c r="AJ38" i="55"/>
  <c r="AK42" i="56"/>
  <c r="AL41" i="56"/>
  <c r="G9" i="55"/>
  <c r="AK12" i="55"/>
  <c r="G51" i="54"/>
  <c r="E20" i="55"/>
  <c r="E21" i="56"/>
  <c r="AK39" i="56"/>
  <c r="AJ29" i="55"/>
  <c r="G30" i="55"/>
  <c r="E38" i="56"/>
  <c r="AJ28" i="54"/>
  <c r="AK57" i="56"/>
  <c r="AJ23" i="55"/>
  <c r="AK20" i="56"/>
  <c r="E29" i="56"/>
  <c r="AL30" i="55"/>
  <c r="AK46" i="56"/>
  <c r="G11" i="54"/>
  <c r="AL55" i="56"/>
  <c r="E13" i="56"/>
  <c r="AK32" i="56"/>
  <c r="AJ60" i="54"/>
  <c r="AL56" i="56"/>
  <c r="AL61" i="56"/>
  <c r="AL58" i="56"/>
  <c r="AL17" i="56"/>
  <c r="G44" i="55"/>
  <c r="AL8" i="55"/>
  <c r="G54" i="55"/>
  <c r="G12" i="54"/>
  <c r="G8" i="54"/>
  <c r="AL62" i="56"/>
  <c r="AJ27" i="55"/>
  <c r="E40" i="56"/>
  <c r="AJ24" i="54"/>
  <c r="AL47" i="56"/>
  <c r="AL20" i="56"/>
  <c r="AK47" i="56"/>
  <c r="G50" i="54"/>
  <c r="AJ63" i="54"/>
  <c r="AJ31" i="55"/>
  <c r="AL34" i="55"/>
  <c r="AL40" i="56"/>
  <c r="E23" i="56"/>
  <c r="AK61" i="56"/>
  <c r="AL57" i="56"/>
  <c r="G35" i="54"/>
  <c r="AK28" i="56"/>
  <c r="AJ16" i="54"/>
  <c r="AJ44" i="54"/>
  <c r="G45" i="55"/>
  <c r="AK21" i="55"/>
  <c r="AL8" i="56"/>
  <c r="AL52" i="56"/>
  <c r="E20" i="56"/>
  <c r="E46" i="56"/>
  <c r="AJ32" i="54"/>
  <c r="E42" i="56"/>
  <c r="AL19" i="56"/>
  <c r="AJ41" i="55"/>
  <c r="G25" i="54"/>
  <c r="AJ46" i="55"/>
  <c r="G53" i="55"/>
  <c r="AK40" i="56"/>
  <c r="G34" i="55"/>
  <c r="AK9" i="55"/>
  <c r="E52" i="56"/>
  <c r="E43" i="56"/>
  <c r="E53" i="56"/>
  <c r="E28" i="56"/>
  <c r="AL26" i="56"/>
  <c r="AK48" i="56"/>
  <c r="E45" i="56"/>
  <c r="G27" i="55"/>
  <c r="AJ37" i="55"/>
  <c r="G37" i="54"/>
  <c r="AL38" i="56"/>
  <c r="AL24" i="55"/>
  <c r="AJ40" i="55"/>
  <c r="G10" i="54"/>
  <c r="AL34" i="56"/>
  <c r="AJ41" i="54"/>
  <c r="G31" i="55"/>
  <c r="AJ25" i="54"/>
  <c r="E39" i="56"/>
  <c r="G49" i="54"/>
  <c r="AJ27" i="54"/>
  <c r="AJ23" i="54"/>
  <c r="G46" i="54"/>
  <c r="AL13" i="56"/>
  <c r="AL39" i="56"/>
  <c r="AK33" i="56"/>
  <c r="G44" i="54"/>
  <c r="AJ58" i="54"/>
  <c r="AL18" i="56"/>
  <c r="G28" i="54"/>
  <c r="AK52" i="56"/>
  <c r="E50" i="56"/>
  <c r="E41" i="56"/>
  <c r="AJ64" i="54"/>
  <c r="G51" i="55"/>
  <c r="AK49" i="56"/>
  <c r="AK9" i="56"/>
  <c r="AJ38" i="54"/>
  <c r="AK11" i="56"/>
  <c r="AJ55" i="54"/>
  <c r="G19" i="55"/>
  <c r="G16" i="54"/>
  <c r="AK15" i="55"/>
  <c r="AJ65" i="54"/>
  <c r="AJ63" i="55"/>
  <c r="AL37" i="56"/>
  <c r="AL51" i="56"/>
  <c r="AJ18" i="54"/>
  <c r="E51" i="56"/>
  <c r="G57" i="55"/>
  <c r="AK28" i="55"/>
  <c r="AJ45" i="55"/>
  <c r="E17" i="55"/>
  <c r="G54" i="54"/>
  <c r="AL15" i="56"/>
  <c r="AJ39" i="54"/>
  <c r="G26" i="55"/>
  <c r="G56" i="55"/>
  <c r="G18" i="54"/>
  <c r="AJ67" i="55"/>
  <c r="AJ13" i="54"/>
  <c r="AL11" i="56"/>
  <c r="AJ53" i="54"/>
  <c r="AL11" i="55"/>
  <c r="G49" i="55"/>
  <c r="AK11" i="55"/>
  <c r="G61" i="54"/>
  <c r="AK35" i="56"/>
  <c r="AL30" i="56"/>
  <c r="E48" i="56"/>
  <c r="AK18" i="56"/>
  <c r="G21" i="54"/>
  <c r="E54" i="56"/>
  <c r="AJ36" i="54"/>
  <c r="G48" i="54"/>
  <c r="AK38" i="56"/>
  <c r="AL53" i="56"/>
  <c r="G55" i="55"/>
  <c r="AL28" i="55"/>
  <c r="G17" i="54"/>
  <c r="AJ56" i="54"/>
  <c r="G19" i="54"/>
  <c r="G36" i="55"/>
  <c r="AJ31" i="54"/>
  <c r="AJ61" i="54"/>
  <c r="AJ59" i="54"/>
  <c r="AJ10" i="54"/>
  <c r="G24" i="54"/>
  <c r="AK30" i="55"/>
  <c r="AJ54" i="54"/>
  <c r="AL10" i="56"/>
  <c r="G43" i="54"/>
  <c r="AJ26" i="54"/>
  <c r="G29" i="55"/>
  <c r="AJ17" i="54"/>
  <c r="AJ52" i="55"/>
  <c r="AJ62" i="54"/>
  <c r="E62" i="56"/>
  <c r="E15" i="55"/>
  <c r="AK24" i="56"/>
  <c r="AJ11" i="54"/>
  <c r="AJ14" i="54"/>
  <c r="AK30" i="56"/>
  <c r="AJ55" i="55"/>
  <c r="AK24" i="55"/>
  <c r="AK18" i="55"/>
  <c r="G34" i="54"/>
  <c r="G32" i="55"/>
  <c r="G55" i="54"/>
  <c r="AK17" i="56"/>
  <c r="AJ62" i="55"/>
  <c r="G18" i="55"/>
  <c r="G14" i="55"/>
  <c r="G33" i="54"/>
  <c r="AJ39" i="55"/>
  <c r="AL7" i="55"/>
  <c r="AK36" i="56"/>
  <c r="AL44" i="56"/>
  <c r="AL35" i="56"/>
  <c r="AK55" i="56"/>
  <c r="AJ20" i="55"/>
  <c r="AJ50" i="54"/>
  <c r="AL22" i="56"/>
  <c r="AJ61" i="55"/>
  <c r="E22" i="55"/>
  <c r="AL9" i="55"/>
  <c r="AJ51" i="54"/>
  <c r="AL21" i="56"/>
  <c r="E16" i="56"/>
  <c r="AJ8" i="54"/>
  <c r="AJ51" i="55"/>
  <c r="G15" i="54"/>
  <c r="G27" i="54"/>
  <c r="AL7" i="56"/>
  <c r="G31" i="54"/>
  <c r="G41" i="55"/>
  <c r="G57" i="54"/>
  <c r="AJ58" i="55"/>
  <c r="AJ22" i="54"/>
  <c r="AJ40" i="54"/>
  <c r="G30" i="54"/>
  <c r="AJ57" i="55"/>
  <c r="G64" i="54"/>
  <c r="AK7" i="55"/>
  <c r="G23" i="55"/>
  <c r="AK10" i="55"/>
  <c r="AL16" i="56"/>
  <c r="AJ50" i="55"/>
  <c r="AL32" i="56"/>
  <c r="E44" i="56"/>
  <c r="AK53" i="56"/>
  <c r="G39" i="54"/>
  <c r="G28" i="55"/>
  <c r="G14" i="54"/>
  <c r="AL45" i="56"/>
  <c r="AK15" i="56"/>
  <c r="E6" i="54"/>
  <c r="AJ42" i="54"/>
  <c r="AJ34" i="54"/>
  <c r="E14" i="56"/>
  <c r="G10" i="55"/>
  <c r="G12" i="55"/>
  <c r="E30" i="56"/>
  <c r="AL32" i="55"/>
  <c r="AK45" i="56"/>
  <c r="G47" i="55"/>
  <c r="G16" i="55"/>
  <c r="E56" i="56"/>
  <c r="E35" i="56"/>
  <c r="G38" i="55"/>
  <c r="G24" i="55"/>
  <c r="G62" i="54"/>
  <c r="G29" i="54"/>
  <c r="AK26" i="56"/>
  <c r="AL36" i="56"/>
  <c r="AJ48" i="55"/>
  <c r="AJ45" i="54"/>
  <c r="AJ64" i="55"/>
  <c r="AK44" i="56"/>
  <c r="G42" i="54"/>
  <c r="AJ22" i="55"/>
  <c r="AJ7" i="54"/>
  <c r="AL54" i="56"/>
  <c r="AK26" i="55"/>
  <c r="AL28" i="56"/>
  <c r="AJ30" i="54"/>
  <c r="AK16" i="56"/>
  <c r="AK33" i="55"/>
  <c r="AK37" i="56"/>
  <c r="AJ54" i="55"/>
  <c r="AJ44" i="55"/>
  <c r="E62" i="55"/>
  <c r="AK23" i="56"/>
  <c r="AL29" i="56"/>
  <c r="E58" i="55"/>
  <c r="E52" i="55"/>
  <c r="AK14" i="55"/>
  <c r="AL33" i="55"/>
  <c r="AK32" i="55"/>
  <c r="AK31" i="56"/>
  <c r="AJ49" i="54"/>
  <c r="AL42" i="56"/>
  <c r="G26" i="54"/>
  <c r="G43" i="55"/>
  <c r="AJ56" i="55"/>
  <c r="AJ43" i="54"/>
  <c r="AK58" i="56"/>
  <c r="G36" i="54"/>
  <c r="E48" i="55"/>
  <c r="E37" i="56"/>
  <c r="G35" i="55"/>
  <c r="AL46" i="56"/>
  <c r="E47" i="56"/>
  <c r="E57" i="56"/>
  <c r="G42" i="55"/>
  <c r="G38" i="54"/>
  <c r="AJ49" i="55"/>
  <c r="AJ17" i="55"/>
  <c r="AK12" i="56"/>
  <c r="AJ53" i="55"/>
  <c r="E55" i="56"/>
  <c r="G61" i="55"/>
  <c r="AK7" i="56"/>
  <c r="AK19" i="56"/>
  <c r="AL26" i="55"/>
  <c r="E61" i="56"/>
  <c r="AJ67" i="54"/>
  <c r="AJ19" i="55"/>
  <c r="G41" i="54"/>
  <c r="G56" i="54"/>
  <c r="AK22" i="56"/>
  <c r="AK16" i="55"/>
  <c r="AK34" i="55"/>
  <c r="G11" i="55"/>
  <c r="G13" i="55"/>
  <c r="AK54" i="56"/>
  <c r="AJ48" i="54"/>
  <c r="AL31" i="56"/>
  <c r="AL25" i="56"/>
  <c r="G21" i="55"/>
  <c r="AK8" i="55"/>
  <c r="G47" i="54"/>
  <c r="G45" i="54"/>
  <c r="AK13" i="56"/>
  <c r="AL15" i="55"/>
  <c r="AJ29" i="54"/>
  <c r="AJ65" i="55"/>
  <c r="AK21" i="56"/>
  <c r="G23" i="54"/>
  <c r="E58" i="56"/>
  <c r="G39" i="55"/>
  <c r="AL23" i="56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S31" i="7"/>
  <c r="BS21" i="7"/>
  <c r="BS11" i="7"/>
  <c r="BS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L10" i="54"/>
  <c r="E63" i="54"/>
  <c r="AK57" i="54"/>
  <c r="AK22" i="54"/>
  <c r="AL45" i="54"/>
  <c r="E34" i="54"/>
  <c r="AL25" i="54"/>
  <c r="AK50" i="55"/>
  <c r="E19" i="55"/>
  <c r="E36" i="55"/>
  <c r="E33" i="54"/>
  <c r="AK53" i="55"/>
  <c r="AL16" i="54"/>
  <c r="AK49" i="54"/>
  <c r="AL32" i="54"/>
  <c r="E54" i="55"/>
  <c r="AL9" i="54"/>
  <c r="AL47" i="54"/>
  <c r="AK12" i="54"/>
  <c r="AL56" i="54"/>
  <c r="E39" i="55"/>
  <c r="AK21" i="54"/>
  <c r="E45" i="54"/>
  <c r="AL31" i="54"/>
  <c r="AK18" i="54"/>
  <c r="AL38" i="54"/>
  <c r="AL13" i="54"/>
  <c r="AL55" i="55"/>
  <c r="AK30" i="54"/>
  <c r="E56" i="55"/>
  <c r="AL53" i="54"/>
  <c r="AL44" i="54"/>
  <c r="AK7" i="54"/>
  <c r="AJ9" i="52"/>
  <c r="AL48" i="54"/>
  <c r="AK54" i="54"/>
  <c r="AL63" i="54"/>
  <c r="AL53" i="55"/>
  <c r="AK10" i="54"/>
  <c r="AJ19" i="52"/>
  <c r="AK48" i="54"/>
  <c r="E27" i="55"/>
  <c r="AK20" i="55"/>
  <c r="E36" i="54"/>
  <c r="E23" i="54"/>
  <c r="AL44" i="55"/>
  <c r="AK42" i="54"/>
  <c r="AK37" i="55"/>
  <c r="E50" i="54"/>
  <c r="AK47" i="55"/>
  <c r="E47" i="55"/>
  <c r="AK61" i="55"/>
  <c r="AK26" i="54"/>
  <c r="AL25" i="55"/>
  <c r="E49" i="54"/>
  <c r="AL40" i="55"/>
  <c r="AL26" i="54"/>
  <c r="AK55" i="54"/>
  <c r="AK31" i="55"/>
  <c r="AK16" i="54"/>
  <c r="AL12" i="54"/>
  <c r="AL31" i="55"/>
  <c r="AK62" i="54"/>
  <c r="AL33" i="54"/>
  <c r="E13" i="54"/>
  <c r="AK53" i="54"/>
  <c r="E61" i="55"/>
  <c r="AL19" i="55"/>
  <c r="E40" i="55"/>
  <c r="AK45" i="55"/>
  <c r="AL54" i="54"/>
  <c r="AL34" i="54"/>
  <c r="AL23" i="54"/>
  <c r="AL15" i="54"/>
  <c r="AK40" i="54"/>
  <c r="AK19" i="54"/>
  <c r="AL27" i="55"/>
  <c r="AK20" i="54"/>
  <c r="AK37" i="54"/>
  <c r="AK38" i="55"/>
  <c r="AK54" i="55"/>
  <c r="E25" i="54"/>
  <c r="AK49" i="55"/>
  <c r="E49" i="55"/>
  <c r="AL52" i="54"/>
  <c r="E11" i="54"/>
  <c r="AK63" i="54"/>
  <c r="AK52" i="54"/>
  <c r="AK41" i="54"/>
  <c r="AK41" i="55"/>
  <c r="AK38" i="54"/>
  <c r="AL61" i="55"/>
  <c r="AL45" i="55"/>
  <c r="E31" i="54"/>
  <c r="E15" i="54"/>
  <c r="E18" i="55"/>
  <c r="AL39" i="55"/>
  <c r="AL49" i="54"/>
  <c r="AK36" i="54"/>
  <c r="E34" i="55"/>
  <c r="AL11" i="54"/>
  <c r="E33" i="55"/>
  <c r="AL58" i="55"/>
  <c r="AK46" i="55"/>
  <c r="E13" i="55"/>
  <c r="AL14" i="54"/>
  <c r="E11" i="55"/>
  <c r="AL49" i="55"/>
  <c r="E37" i="55"/>
  <c r="AL43" i="54"/>
  <c r="E21" i="54"/>
  <c r="E55" i="54"/>
  <c r="AL8" i="54"/>
  <c r="AL23" i="55"/>
  <c r="E26" i="55"/>
  <c r="AL57" i="55"/>
  <c r="E17" i="54"/>
  <c r="AL20" i="55"/>
  <c r="AK29" i="54"/>
  <c r="E51" i="55"/>
  <c r="E22" i="54"/>
  <c r="E7" i="54"/>
  <c r="E46" i="55"/>
  <c r="E25" i="55"/>
  <c r="AL56" i="55"/>
  <c r="AL62" i="55"/>
  <c r="AK50" i="54"/>
  <c r="E24" i="55"/>
  <c r="E8" i="54"/>
  <c r="AL36" i="55"/>
  <c r="AL18" i="54"/>
  <c r="E12" i="54"/>
  <c r="AK9" i="54"/>
  <c r="AK51" i="55"/>
  <c r="AK14" i="54"/>
  <c r="E32" i="54"/>
  <c r="E31" i="55"/>
  <c r="AK40" i="55"/>
  <c r="E42" i="54"/>
  <c r="E40" i="54"/>
  <c r="AL37" i="54"/>
  <c r="AK33" i="54"/>
  <c r="AL36" i="54"/>
  <c r="AK19" i="55"/>
  <c r="AL17" i="55"/>
  <c r="AL29" i="55"/>
  <c r="E41" i="55"/>
  <c r="E51" i="54"/>
  <c r="E38" i="54"/>
  <c r="AL41" i="55"/>
  <c r="AL46" i="55"/>
  <c r="AL51" i="55"/>
  <c r="E28" i="55"/>
  <c r="E14" i="54"/>
  <c r="AK27" i="55"/>
  <c r="E8" i="55"/>
  <c r="E53" i="55"/>
  <c r="AK25" i="55"/>
  <c r="AK56" i="55"/>
  <c r="E38" i="55"/>
  <c r="AL52" i="55"/>
  <c r="E42" i="55"/>
  <c r="E10" i="54"/>
  <c r="E23" i="55"/>
  <c r="E6" i="52"/>
  <c r="AL29" i="54"/>
  <c r="E14" i="55"/>
  <c r="AL50" i="54"/>
  <c r="E57" i="55"/>
  <c r="E47" i="54"/>
  <c r="AL19" i="54"/>
  <c r="E44" i="55"/>
  <c r="E29" i="55"/>
  <c r="AK17" i="55"/>
  <c r="E53" i="54"/>
  <c r="AL41" i="54"/>
  <c r="AK42" i="55"/>
  <c r="AL35" i="54"/>
  <c r="AL21" i="54"/>
  <c r="AK56" i="54"/>
  <c r="AL42" i="54"/>
  <c r="AK57" i="55"/>
  <c r="AK25" i="54"/>
  <c r="AL30" i="54"/>
  <c r="AL28" i="54"/>
  <c r="AK46" i="54"/>
  <c r="AK8" i="54"/>
  <c r="AK24" i="54"/>
  <c r="E55" i="55"/>
  <c r="AL20" i="54"/>
  <c r="AK36" i="55"/>
  <c r="E45" i="55"/>
  <c r="AK43" i="54"/>
  <c r="E52" i="54"/>
  <c r="AK27" i="54"/>
  <c r="E61" i="54"/>
  <c r="AL54" i="55"/>
  <c r="E30" i="54"/>
  <c r="AK35" i="54"/>
  <c r="E21" i="55"/>
  <c r="AK61" i="54"/>
  <c r="E50" i="55"/>
  <c r="E41" i="54"/>
  <c r="AK47" i="54"/>
  <c r="AK13" i="54"/>
  <c r="AL50" i="55"/>
  <c r="E62" i="54"/>
  <c r="E16" i="55"/>
  <c r="AL64" i="54"/>
  <c r="AK22" i="55"/>
  <c r="AL61" i="54"/>
  <c r="AK39" i="54"/>
  <c r="AK23" i="54"/>
  <c r="E57" i="54"/>
  <c r="AK44" i="54"/>
  <c r="AK31" i="54"/>
  <c r="E29" i="54"/>
  <c r="E16" i="54"/>
  <c r="AK58" i="55"/>
  <c r="E43" i="54"/>
  <c r="AK55" i="55"/>
  <c r="AL40" i="54"/>
  <c r="AK15" i="54"/>
  <c r="AK62" i="55"/>
  <c r="AK43" i="55"/>
  <c r="AJ57" i="52"/>
  <c r="E64" i="54"/>
  <c r="AK32" i="54"/>
  <c r="E30" i="55"/>
  <c r="AK23" i="55"/>
  <c r="E44" i="54"/>
  <c r="AK29" i="55"/>
  <c r="AK11" i="54"/>
  <c r="AL55" i="54"/>
  <c r="AL22" i="54"/>
  <c r="AL47" i="55"/>
  <c r="E35" i="54"/>
  <c r="G61" i="52"/>
  <c r="AL46" i="54"/>
  <c r="AK51" i="54"/>
  <c r="E48" i="54"/>
  <c r="E39" i="54"/>
  <c r="AK48" i="55"/>
  <c r="AL51" i="54"/>
  <c r="E18" i="54"/>
  <c r="AK34" i="54"/>
  <c r="AL24" i="54"/>
  <c r="E9" i="55"/>
  <c r="AL37" i="55"/>
  <c r="AL42" i="55"/>
  <c r="E9" i="54"/>
  <c r="E35" i="55"/>
  <c r="E12" i="55"/>
  <c r="AK28" i="54"/>
  <c r="AK52" i="55"/>
  <c r="AL17" i="54"/>
  <c r="AL48" i="55"/>
  <c r="E26" i="54"/>
  <c r="AK64" i="54"/>
  <c r="E10" i="55"/>
  <c r="AK44" i="55"/>
  <c r="AL7" i="54"/>
  <c r="AL57" i="54"/>
  <c r="E56" i="54"/>
  <c r="E24" i="54"/>
  <c r="AL38" i="55"/>
  <c r="E54" i="54"/>
  <c r="AK39" i="55"/>
  <c r="AK17" i="54"/>
  <c r="E27" i="54"/>
  <c r="E37" i="54"/>
  <c r="AL62" i="54"/>
  <c r="AL39" i="54"/>
  <c r="E43" i="55"/>
  <c r="E32" i="55"/>
  <c r="AK45" i="54"/>
  <c r="E46" i="54"/>
  <c r="AL27" i="54"/>
  <c r="AL43" i="55"/>
  <c r="E20" i="54"/>
  <c r="E28" i="54"/>
  <c r="AJ50" i="52"/>
  <c r="E19" i="54"/>
  <c r="AL22" i="55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V12" i="56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AX59" i="52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20" i="52"/>
  <c r="G41" i="52"/>
  <c r="E61" i="52"/>
  <c r="AJ34" i="52"/>
  <c r="AJ16" i="52"/>
  <c r="AJ64" i="52"/>
  <c r="G28" i="52"/>
  <c r="AJ41" i="52"/>
  <c r="AJ27" i="52"/>
  <c r="G29" i="52"/>
  <c r="AJ13" i="52"/>
  <c r="G44" i="52"/>
  <c r="AJ43" i="52"/>
  <c r="AJ48" i="52"/>
  <c r="AJ23" i="52"/>
  <c r="G23" i="52"/>
  <c r="AJ55" i="52"/>
  <c r="AJ12" i="52"/>
  <c r="G35" i="52"/>
  <c r="G26" i="52"/>
  <c r="G30" i="52"/>
  <c r="AJ10" i="52"/>
  <c r="AJ17" i="52"/>
  <c r="G36" i="52"/>
  <c r="G47" i="52"/>
  <c r="AJ47" i="52"/>
  <c r="G21" i="52"/>
  <c r="G55" i="52"/>
  <c r="AJ67" i="52"/>
  <c r="G56" i="52"/>
  <c r="G18" i="52"/>
  <c r="AJ25" i="52"/>
  <c r="G54" i="52"/>
  <c r="AJ26" i="52"/>
  <c r="G48" i="52"/>
  <c r="AJ66" i="52"/>
  <c r="G12" i="52"/>
  <c r="AJ29" i="52"/>
  <c r="G53" i="52"/>
  <c r="G34" i="52"/>
  <c r="AJ18" i="52"/>
  <c r="G43" i="52"/>
  <c r="G40" i="52"/>
  <c r="AJ39" i="52"/>
  <c r="AJ21" i="52"/>
  <c r="G14" i="52"/>
  <c r="G7" i="52"/>
  <c r="AJ62" i="52"/>
  <c r="G12" i="51"/>
  <c r="AJ65" i="52"/>
  <c r="G38" i="52"/>
  <c r="AJ36" i="52"/>
  <c r="AJ15" i="52"/>
  <c r="AJ32" i="52"/>
  <c r="G11" i="52"/>
  <c r="AJ8" i="52"/>
  <c r="G51" i="52"/>
  <c r="AJ14" i="52"/>
  <c r="G57" i="52"/>
  <c r="AJ46" i="52"/>
  <c r="G16" i="52"/>
  <c r="AJ42" i="52"/>
  <c r="G24" i="52"/>
  <c r="G45" i="52"/>
  <c r="G46" i="52"/>
  <c r="G37" i="52"/>
  <c r="G31" i="52"/>
  <c r="AJ45" i="52"/>
  <c r="AJ44" i="52"/>
  <c r="G9" i="52"/>
  <c r="AJ59" i="52"/>
  <c r="G42" i="52"/>
  <c r="AJ56" i="52"/>
  <c r="G27" i="52"/>
  <c r="G32" i="52"/>
  <c r="AJ30" i="52"/>
  <c r="AJ54" i="52"/>
  <c r="AJ61" i="52"/>
  <c r="G25" i="52"/>
  <c r="G52" i="52"/>
  <c r="G22" i="52"/>
  <c r="AJ37" i="52"/>
  <c r="AJ11" i="52"/>
  <c r="G10" i="52"/>
  <c r="AJ31" i="52"/>
  <c r="AJ33" i="52"/>
  <c r="G8" i="52"/>
  <c r="AJ52" i="52"/>
  <c r="G64" i="52"/>
  <c r="AJ38" i="52"/>
  <c r="G15" i="51"/>
  <c r="AJ40" i="52"/>
  <c r="AJ49" i="52"/>
  <c r="G15" i="52"/>
  <c r="AJ24" i="52"/>
  <c r="AJ58" i="52"/>
  <c r="G49" i="52"/>
  <c r="AJ35" i="52"/>
  <c r="G13" i="52"/>
  <c r="G63" i="52"/>
  <c r="AJ60" i="52"/>
  <c r="G20" i="52"/>
  <c r="AJ28" i="52"/>
  <c r="AJ63" i="52"/>
  <c r="G50" i="52"/>
  <c r="AJ51" i="52"/>
  <c r="G17" i="52"/>
  <c r="G62" i="52"/>
  <c r="G19" i="52"/>
  <c r="AJ53" i="52"/>
  <c r="G33" i="52"/>
  <c r="AJ7" i="52"/>
  <c r="AJ22" i="52"/>
  <c r="G39" i="52"/>
  <c r="AO11" i="7"/>
  <c r="P8" i="56" l="1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C78" i="5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2" i="52"/>
  <c r="AL11" i="52"/>
  <c r="AK11" i="52"/>
  <c r="E63" i="52"/>
  <c r="G7" i="51"/>
  <c r="E10" i="52"/>
  <c r="O5" i="54" l="1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X8" i="50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O7" i="7"/>
  <c r="BM7" i="7"/>
  <c r="BL32" i="7"/>
  <c r="BO31" i="7"/>
  <c r="BM31" i="7"/>
  <c r="BK21" i="7"/>
  <c r="BL22" i="7"/>
  <c r="BO21" i="7"/>
  <c r="BM21" i="7"/>
  <c r="BO11" i="7"/>
  <c r="BM11" i="7"/>
  <c r="BL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G21" i="7"/>
  <c r="AU21" i="7"/>
  <c r="BA21" i="7"/>
  <c r="CA12" i="7" l="1"/>
  <c r="CC12" i="7"/>
  <c r="CA22" i="7"/>
  <c r="CC22" i="7"/>
  <c r="CA32" i="7"/>
  <c r="CC32" i="7"/>
  <c r="AW8" i="34"/>
  <c r="AX8" i="34" s="1"/>
  <c r="BU12" i="7"/>
  <c r="BY12" i="7"/>
  <c r="BU22" i="7"/>
  <c r="BY22" i="7"/>
  <c r="BU32" i="7"/>
  <c r="BY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BW12" i="7"/>
  <c r="BQ12" i="7"/>
  <c r="BW22" i="7"/>
  <c r="BQ22" i="7"/>
  <c r="BW32" i="7"/>
  <c r="BQ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K31" i="7"/>
  <c r="BM12" i="7"/>
  <c r="BS12" i="7"/>
  <c r="BO22" i="7"/>
  <c r="BS22" i="7"/>
  <c r="BO32" i="7"/>
  <c r="BS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L13" i="7"/>
  <c r="BO12" i="7"/>
  <c r="BL33" i="7"/>
  <c r="BM32" i="7"/>
  <c r="BL23" i="7"/>
  <c r="BM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BD21" i="7"/>
  <c r="AU31" i="7"/>
  <c r="AX21" i="7"/>
  <c r="CA33" i="7" l="1"/>
  <c r="CC33" i="7"/>
  <c r="CC23" i="7"/>
  <c r="CA23" i="7"/>
  <c r="CC13" i="7"/>
  <c r="CA13" i="7"/>
  <c r="Y14" i="46"/>
  <c r="BU23" i="7"/>
  <c r="BY23" i="7"/>
  <c r="BU33" i="7"/>
  <c r="BY33" i="7"/>
  <c r="BU13" i="7"/>
  <c r="BY13" i="7"/>
  <c r="C79" i="46"/>
  <c r="M8" i="46"/>
  <c r="AY15" i="46"/>
  <c r="AY55" i="34"/>
  <c r="AY25" i="34"/>
  <c r="AY37" i="46"/>
  <c r="BW23" i="7"/>
  <c r="BQ23" i="7"/>
  <c r="BW13" i="7"/>
  <c r="BQ13" i="7"/>
  <c r="BW33" i="7"/>
  <c r="BQ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S13" i="7"/>
  <c r="BS33" i="7"/>
  <c r="BS23" i="7"/>
  <c r="BL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O13" i="7"/>
  <c r="BM13" i="7"/>
  <c r="BO33" i="7"/>
  <c r="BM33" i="7"/>
  <c r="BL34" i="7"/>
  <c r="BO23" i="7"/>
  <c r="BM23" i="7"/>
  <c r="BL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A14" i="7" l="1"/>
  <c r="CC14" i="7"/>
  <c r="CA34" i="7"/>
  <c r="CC34" i="7"/>
  <c r="CA24" i="7"/>
  <c r="CC24" i="7"/>
  <c r="BY14" i="7"/>
  <c r="BU34" i="7"/>
  <c r="BY34" i="7"/>
  <c r="BU24" i="7"/>
  <c r="BY24" i="7"/>
  <c r="BQ14" i="7"/>
  <c r="BU14" i="7"/>
  <c r="BW34" i="7"/>
  <c r="BQ34" i="7"/>
  <c r="BW24" i="7"/>
  <c r="BQ24" i="7"/>
  <c r="BO14" i="7"/>
  <c r="BW14" i="7"/>
  <c r="BM14" i="7"/>
  <c r="BL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S14" i="7"/>
  <c r="BS34" i="7"/>
  <c r="BS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O34" i="7"/>
  <c r="BL35" i="7"/>
  <c r="BM34" i="7"/>
  <c r="BO24" i="7"/>
  <c r="BL25" i="7"/>
  <c r="BM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C35" i="7" l="1"/>
  <c r="CA35" i="7"/>
  <c r="CC25" i="7"/>
  <c r="CA25" i="7"/>
  <c r="CC15" i="7"/>
  <c r="CA15" i="7"/>
  <c r="BY15" i="7"/>
  <c r="BU25" i="7"/>
  <c r="BY25" i="7"/>
  <c r="BU35" i="7"/>
  <c r="BY35" i="7"/>
  <c r="BM15" i="7"/>
  <c r="BU15" i="7"/>
  <c r="BO15" i="7"/>
  <c r="BW15" i="7"/>
  <c r="BQ15" i="7"/>
  <c r="BW35" i="7"/>
  <c r="BQ35" i="7"/>
  <c r="BL16" i="7"/>
  <c r="BW25" i="7"/>
  <c r="BQ25" i="7"/>
  <c r="BS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S35" i="7"/>
  <c r="BS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O35" i="7"/>
  <c r="BM35" i="7"/>
  <c r="BL36" i="7"/>
  <c r="BO25" i="7"/>
  <c r="BM25" i="7"/>
  <c r="BL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A36" i="7" l="1"/>
  <c r="CC36" i="7"/>
  <c r="CA16" i="7"/>
  <c r="CC16" i="7"/>
  <c r="CA26" i="7"/>
  <c r="CC26" i="7"/>
  <c r="BY16" i="7"/>
  <c r="BU36" i="7"/>
  <c r="BY36" i="7"/>
  <c r="BU26" i="7"/>
  <c r="BY26" i="7"/>
  <c r="BO16" i="7"/>
  <c r="BU16" i="7"/>
  <c r="BM16" i="7"/>
  <c r="BS16" i="7"/>
  <c r="BW36" i="7"/>
  <c r="BQ36" i="7"/>
  <c r="BW26" i="7"/>
  <c r="BQ26" i="7"/>
  <c r="BW16" i="7"/>
  <c r="BQ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S26" i="7"/>
  <c r="BS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O36" i="7"/>
  <c r="BM36" i="7"/>
  <c r="BO26" i="7"/>
  <c r="BM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AK28" i="52"/>
  <c r="G47" i="50"/>
  <c r="G26" i="49"/>
  <c r="G49" i="49"/>
  <c r="G63" i="49"/>
  <c r="G63" i="51"/>
  <c r="AK17" i="52"/>
  <c r="E45" i="52"/>
  <c r="AL32" i="52"/>
  <c r="E23" i="52"/>
  <c r="G29" i="45"/>
  <c r="G47" i="49"/>
  <c r="G29" i="50"/>
  <c r="AK62" i="52"/>
  <c r="AK13" i="52"/>
  <c r="G50" i="49"/>
  <c r="AJ61" i="50"/>
  <c r="AJ15" i="51"/>
  <c r="AL30" i="52"/>
  <c r="AL49" i="52"/>
  <c r="AJ34" i="50"/>
  <c r="AL27" i="52"/>
  <c r="AJ8" i="51"/>
  <c r="G48" i="51"/>
  <c r="AL43" i="52"/>
  <c r="G29" i="49"/>
  <c r="AL22" i="52"/>
  <c r="AJ23" i="51"/>
  <c r="AJ47" i="51"/>
  <c r="AK26" i="52"/>
  <c r="AJ52" i="51"/>
  <c r="AK36" i="52"/>
  <c r="E39" i="52"/>
  <c r="G10" i="51"/>
  <c r="G12" i="47"/>
  <c r="G56" i="51"/>
  <c r="G13" i="46"/>
  <c r="AK15" i="52"/>
  <c r="E57" i="52"/>
  <c r="AK53" i="52"/>
  <c r="AJ17" i="50"/>
  <c r="G15" i="50"/>
  <c r="AJ53" i="51"/>
  <c r="AJ27" i="51"/>
  <c r="AJ37" i="50"/>
  <c r="AJ10" i="45"/>
  <c r="E37" i="52"/>
  <c r="E24" i="52"/>
  <c r="AJ14" i="49"/>
  <c r="AJ23" i="49"/>
  <c r="AJ62" i="49"/>
  <c r="AJ58" i="47"/>
  <c r="AJ57" i="51"/>
  <c r="AJ41" i="51"/>
  <c r="AJ26" i="51"/>
  <c r="AJ32" i="46"/>
  <c r="AJ11" i="49"/>
  <c r="AK33" i="52"/>
  <c r="AJ30" i="51"/>
  <c r="G34" i="51"/>
  <c r="AK63" i="52"/>
  <c r="G46" i="50"/>
  <c r="G13" i="51"/>
  <c r="E29" i="52"/>
  <c r="E42" i="52"/>
  <c r="E46" i="52"/>
  <c r="AJ36" i="51"/>
  <c r="G20" i="50"/>
  <c r="AJ66" i="49"/>
  <c r="E18" i="52"/>
  <c r="E19" i="52"/>
  <c r="G36" i="50"/>
  <c r="AJ9" i="51"/>
  <c r="G31" i="51"/>
  <c r="AL62" i="52"/>
  <c r="G63" i="50"/>
  <c r="AJ31" i="49"/>
  <c r="E56" i="52"/>
  <c r="G13" i="50"/>
  <c r="AJ57" i="46"/>
  <c r="AJ49" i="49"/>
  <c r="AJ42" i="45"/>
  <c r="AJ13" i="49"/>
  <c r="AK38" i="52"/>
  <c r="AK40" i="52"/>
  <c r="AJ7" i="45"/>
  <c r="AJ19" i="50"/>
  <c r="G32" i="49"/>
  <c r="G36" i="51"/>
  <c r="AJ39" i="50"/>
  <c r="AJ27" i="50"/>
  <c r="G33" i="50"/>
  <c r="G46" i="51"/>
  <c r="AJ21" i="49"/>
  <c r="AJ40" i="46"/>
  <c r="E7" i="51"/>
  <c r="G14" i="46"/>
  <c r="G52" i="49"/>
  <c r="AJ22" i="51"/>
  <c r="AJ40" i="49"/>
  <c r="AL63" i="52"/>
  <c r="AL26" i="52"/>
  <c r="AJ66" i="50"/>
  <c r="E11" i="52"/>
  <c r="AJ45" i="49"/>
  <c r="AJ22" i="50"/>
  <c r="AJ64" i="50"/>
  <c r="AJ64" i="49"/>
  <c r="AJ28" i="49"/>
  <c r="AJ58" i="50"/>
  <c r="G64" i="51"/>
  <c r="G43" i="49"/>
  <c r="E20" i="52"/>
  <c r="AJ51" i="51"/>
  <c r="AJ55" i="49"/>
  <c r="G53" i="51"/>
  <c r="E21" i="52"/>
  <c r="G41" i="49"/>
  <c r="E51" i="52"/>
  <c r="G34" i="50"/>
  <c r="AJ61" i="49"/>
  <c r="E17" i="52"/>
  <c r="AK9" i="52"/>
  <c r="AJ12" i="50"/>
  <c r="G17" i="49"/>
  <c r="G12" i="45"/>
  <c r="G21" i="45"/>
  <c r="AL56" i="52"/>
  <c r="G57" i="51"/>
  <c r="G8" i="49"/>
  <c r="G47" i="51"/>
  <c r="G49" i="50"/>
  <c r="E41" i="52"/>
  <c r="E43" i="52"/>
  <c r="G31" i="49"/>
  <c r="AJ7" i="50"/>
  <c r="AK19" i="52"/>
  <c r="G16" i="49"/>
  <c r="AL38" i="52"/>
  <c r="G51" i="50"/>
  <c r="G50" i="50"/>
  <c r="G20" i="51"/>
  <c r="E8" i="52"/>
  <c r="AJ18" i="51"/>
  <c r="G25" i="49"/>
  <c r="AK61" i="52"/>
  <c r="G58" i="51"/>
  <c r="G11" i="50"/>
  <c r="AJ28" i="51"/>
  <c r="G27" i="51"/>
  <c r="AJ8" i="50"/>
  <c r="G45" i="49"/>
  <c r="G16" i="51"/>
  <c r="G11" i="51"/>
  <c r="G30" i="51"/>
  <c r="G40" i="51"/>
  <c r="AL7" i="52"/>
  <c r="E15" i="52"/>
  <c r="G49" i="51"/>
  <c r="G37" i="51"/>
  <c r="E12" i="51"/>
  <c r="AJ24" i="45"/>
  <c r="E15" i="51"/>
  <c r="AK29" i="52"/>
  <c r="AK31" i="52"/>
  <c r="AJ18" i="49"/>
  <c r="G28" i="47"/>
  <c r="E48" i="52"/>
  <c r="E9" i="52"/>
  <c r="AJ39" i="45"/>
  <c r="AL28" i="52"/>
  <c r="AJ35" i="51"/>
  <c r="AJ14" i="51"/>
  <c r="AJ27" i="49"/>
  <c r="G28" i="49"/>
  <c r="AL21" i="52"/>
  <c r="E30" i="52"/>
  <c r="G19" i="51"/>
  <c r="G39" i="51"/>
  <c r="AJ35" i="49"/>
  <c r="E49" i="52"/>
  <c r="AJ64" i="51"/>
  <c r="G11" i="47"/>
  <c r="G65" i="47"/>
  <c r="AJ18" i="50"/>
  <c r="G35" i="50"/>
  <c r="AJ14" i="50"/>
  <c r="AL52" i="52"/>
  <c r="AJ50" i="46"/>
  <c r="AJ63" i="50"/>
  <c r="G8" i="51"/>
  <c r="E52" i="52"/>
  <c r="AK45" i="52"/>
  <c r="AJ44" i="50"/>
  <c r="AJ22" i="49"/>
  <c r="E54" i="52"/>
  <c r="G23" i="51"/>
  <c r="AK64" i="52"/>
  <c r="AL51" i="52"/>
  <c r="AK12" i="52"/>
  <c r="G23" i="50"/>
  <c r="G57" i="50"/>
  <c r="AJ24" i="50"/>
  <c r="G23" i="49"/>
  <c r="AJ39" i="49"/>
  <c r="AL42" i="52"/>
  <c r="AK46" i="52"/>
  <c r="G10" i="49"/>
  <c r="AJ37" i="51"/>
  <c r="AJ65" i="50"/>
  <c r="G14" i="45"/>
  <c r="AK8" i="52"/>
  <c r="AJ41" i="50"/>
  <c r="AJ43" i="50"/>
  <c r="AK34" i="52"/>
  <c r="G58" i="50"/>
  <c r="AJ48" i="49"/>
  <c r="G39" i="50"/>
  <c r="AJ20" i="45"/>
  <c r="E32" i="52"/>
  <c r="G22" i="51"/>
  <c r="AL55" i="52"/>
  <c r="AJ40" i="50"/>
  <c r="G53" i="49"/>
  <c r="AJ52" i="50"/>
  <c r="AJ54" i="50"/>
  <c r="AJ20" i="49"/>
  <c r="AK49" i="52"/>
  <c r="G9" i="51"/>
  <c r="E31" i="52"/>
  <c r="AJ16" i="49"/>
  <c r="AJ8" i="49"/>
  <c r="AJ58" i="51"/>
  <c r="E7" i="52"/>
  <c r="AJ29" i="51"/>
  <c r="G43" i="51"/>
  <c r="AJ29" i="49"/>
  <c r="AJ25" i="46"/>
  <c r="G25" i="45"/>
  <c r="G56" i="49"/>
  <c r="AJ59" i="49"/>
  <c r="AJ26" i="49"/>
  <c r="AJ7" i="51"/>
  <c r="AL24" i="52"/>
  <c r="G57" i="49"/>
  <c r="AJ23" i="50"/>
  <c r="E47" i="52"/>
  <c r="G52" i="50"/>
  <c r="AJ16" i="45"/>
  <c r="AL45" i="52"/>
  <c r="AJ33" i="50"/>
  <c r="AJ32" i="50"/>
  <c r="G12" i="50"/>
  <c r="AJ54" i="51"/>
  <c r="G39" i="49"/>
  <c r="G34" i="49"/>
  <c r="AJ47" i="49"/>
  <c r="AJ47" i="50"/>
  <c r="AJ16" i="46"/>
  <c r="AL41" i="52"/>
  <c r="AJ65" i="51"/>
  <c r="AL17" i="52"/>
  <c r="E55" i="52"/>
  <c r="AL34" i="52"/>
  <c r="G29" i="51"/>
  <c r="G13" i="47"/>
  <c r="E12" i="52"/>
  <c r="AJ40" i="51"/>
  <c r="AJ62" i="51"/>
  <c r="AJ49" i="51"/>
  <c r="AK37" i="52"/>
  <c r="E50" i="52"/>
  <c r="AJ37" i="49"/>
  <c r="AJ15" i="50"/>
  <c r="AJ28" i="45"/>
  <c r="AJ24" i="49"/>
  <c r="G13" i="45"/>
  <c r="E13" i="52"/>
  <c r="AJ50" i="49"/>
  <c r="AJ57" i="50"/>
  <c r="AL57" i="52"/>
  <c r="AL53" i="52"/>
  <c r="AJ33" i="49"/>
  <c r="E40" i="52"/>
  <c r="AK22" i="52"/>
  <c r="E38" i="52"/>
  <c r="G48" i="49"/>
  <c r="G14" i="49"/>
  <c r="G18" i="50"/>
  <c r="AJ36" i="50"/>
  <c r="G62" i="49"/>
  <c r="G25" i="50"/>
  <c r="G64" i="47"/>
  <c r="AJ54" i="49"/>
  <c r="G61" i="47"/>
  <c r="AJ32" i="51"/>
  <c r="AJ31" i="51"/>
  <c r="G16" i="50"/>
  <c r="G11" i="49"/>
  <c r="G38" i="50"/>
  <c r="AL29" i="52"/>
  <c r="AJ32" i="49"/>
  <c r="G9" i="50"/>
  <c r="G16" i="47"/>
  <c r="G13" i="49"/>
  <c r="AJ25" i="50"/>
  <c r="G20" i="47"/>
  <c r="AK39" i="52"/>
  <c r="G26" i="51"/>
  <c r="G27" i="50"/>
  <c r="AJ45" i="51"/>
  <c r="AJ38" i="51"/>
  <c r="AJ19" i="49"/>
  <c r="G38" i="49"/>
  <c r="G41" i="50"/>
  <c r="G32" i="50"/>
  <c r="AL64" i="52"/>
  <c r="AL37" i="52"/>
  <c r="AJ45" i="50"/>
  <c r="AJ10" i="49"/>
  <c r="G19" i="47"/>
  <c r="AL35" i="52"/>
  <c r="E34" i="52"/>
  <c r="G44" i="50"/>
  <c r="E22" i="52"/>
  <c r="G27" i="49"/>
  <c r="AK7" i="52"/>
  <c r="G44" i="46"/>
  <c r="AJ7" i="49"/>
  <c r="G63" i="47"/>
  <c r="G55" i="51"/>
  <c r="G58" i="49"/>
  <c r="AJ46" i="51"/>
  <c r="G45" i="51"/>
  <c r="AL9" i="52"/>
  <c r="AJ30" i="49"/>
  <c r="AJ53" i="49"/>
  <c r="AJ30" i="50"/>
  <c r="AL14" i="52"/>
  <c r="AK57" i="52"/>
  <c r="AJ21" i="51"/>
  <c r="AJ60" i="50"/>
  <c r="AJ42" i="50"/>
  <c r="G11" i="46"/>
  <c r="AL50" i="52"/>
  <c r="G24" i="50"/>
  <c r="G59" i="49"/>
  <c r="G38" i="51"/>
  <c r="AJ21" i="50"/>
  <c r="AJ63" i="51"/>
  <c r="AK54" i="52"/>
  <c r="G30" i="49"/>
  <c r="G14" i="50"/>
  <c r="G8" i="50"/>
  <c r="AK16" i="52"/>
  <c r="AK21" i="52"/>
  <c r="AJ42" i="49"/>
  <c r="AJ12" i="49"/>
  <c r="AL25" i="52"/>
  <c r="AK43" i="52"/>
  <c r="AJ20" i="46"/>
  <c r="AJ56" i="49"/>
  <c r="AL46" i="52"/>
  <c r="AJ43" i="51"/>
  <c r="AK41" i="52"/>
  <c r="G35" i="51"/>
  <c r="AJ10" i="50"/>
  <c r="AL12" i="52"/>
  <c r="AJ33" i="51"/>
  <c r="AJ67" i="49"/>
  <c r="AK10" i="52"/>
  <c r="AJ60" i="51"/>
  <c r="AJ50" i="51"/>
  <c r="AJ62" i="50"/>
  <c r="AJ55" i="50"/>
  <c r="G18" i="49"/>
  <c r="AL40" i="52"/>
  <c r="AK18" i="52"/>
  <c r="AJ16" i="50"/>
  <c r="G19" i="49"/>
  <c r="G8" i="47"/>
  <c r="AJ28" i="46"/>
  <c r="AJ19" i="51"/>
  <c r="G54" i="49"/>
  <c r="AJ11" i="50"/>
  <c r="E35" i="52"/>
  <c r="G9" i="49"/>
  <c r="AJ25" i="49"/>
  <c r="AK50" i="52"/>
  <c r="AJ46" i="47"/>
  <c r="AL31" i="52"/>
  <c r="G8" i="46"/>
  <c r="AJ25" i="51"/>
  <c r="AJ26" i="50"/>
  <c r="AJ55" i="51"/>
  <c r="AK56" i="52"/>
  <c r="G55" i="50"/>
  <c r="AK35" i="52"/>
  <c r="G62" i="51"/>
  <c r="G17" i="45"/>
  <c r="G30" i="50"/>
  <c r="G37" i="50"/>
  <c r="AK27" i="52"/>
  <c r="AJ35" i="50"/>
  <c r="G21" i="49"/>
  <c r="AJ44" i="49"/>
  <c r="G26" i="50"/>
  <c r="G34" i="45"/>
  <c r="AJ67" i="50"/>
  <c r="AJ61" i="51"/>
  <c r="AL48" i="52"/>
  <c r="AK25" i="52"/>
  <c r="AJ59" i="51"/>
  <c r="G12" i="49"/>
  <c r="G40" i="49"/>
  <c r="G50" i="51"/>
  <c r="G19" i="50"/>
  <c r="AJ31" i="50"/>
  <c r="AJ43" i="49"/>
  <c r="E14" i="52"/>
  <c r="AJ59" i="50"/>
  <c r="G56" i="50"/>
  <c r="AL54" i="52"/>
  <c r="G42" i="51"/>
  <c r="G44" i="49"/>
  <c r="G48" i="50"/>
  <c r="G40" i="50"/>
  <c r="AJ38" i="50"/>
  <c r="AJ56" i="51"/>
  <c r="G42" i="50"/>
  <c r="G7" i="45"/>
  <c r="AJ20" i="50"/>
  <c r="AL8" i="52"/>
  <c r="AJ44" i="51"/>
  <c r="AJ23" i="46"/>
  <c r="AJ15" i="49"/>
  <c r="AJ13" i="51"/>
  <c r="AK20" i="52"/>
  <c r="G46" i="49"/>
  <c r="AK47" i="52"/>
  <c r="AJ17" i="49"/>
  <c r="AL10" i="52"/>
  <c r="G7" i="50"/>
  <c r="G31" i="50"/>
  <c r="G62" i="50"/>
  <c r="G10" i="50"/>
  <c r="G14" i="51"/>
  <c r="AJ17" i="51"/>
  <c r="E28" i="52"/>
  <c r="AJ47" i="45"/>
  <c r="G28" i="50"/>
  <c r="AJ34" i="51"/>
  <c r="G53" i="50"/>
  <c r="G16" i="45"/>
  <c r="AJ49" i="50"/>
  <c r="AJ9" i="49"/>
  <c r="G60" i="46"/>
  <c r="G51" i="51"/>
  <c r="AJ11" i="51"/>
  <c r="AJ48" i="51"/>
  <c r="AJ57" i="49"/>
  <c r="G27" i="47"/>
  <c r="AL44" i="52"/>
  <c r="E53" i="52"/>
  <c r="G16" i="46"/>
  <c r="AJ31" i="46"/>
  <c r="G17" i="50"/>
  <c r="G54" i="50"/>
  <c r="AJ48" i="46"/>
  <c r="G15" i="49"/>
  <c r="AK48" i="52"/>
  <c r="AK23" i="52"/>
  <c r="AL39" i="52"/>
  <c r="AK52" i="52"/>
  <c r="E16" i="52"/>
  <c r="AJ46" i="50"/>
  <c r="AJ60" i="49"/>
  <c r="G18" i="51"/>
  <c r="G8" i="45"/>
  <c r="E36" i="52"/>
  <c r="E33" i="52"/>
  <c r="AJ41" i="49"/>
  <c r="AL47" i="52"/>
  <c r="AJ53" i="50"/>
  <c r="G9" i="46"/>
  <c r="AJ66" i="51"/>
  <c r="AJ36" i="49"/>
  <c r="E64" i="52"/>
  <c r="G55" i="49"/>
  <c r="AJ28" i="50"/>
  <c r="AJ38" i="49"/>
  <c r="G54" i="51"/>
  <c r="G66" i="47"/>
  <c r="E25" i="52"/>
  <c r="AJ46" i="49"/>
  <c r="G33" i="51"/>
  <c r="G35" i="49"/>
  <c r="G12" i="46"/>
  <c r="AJ63" i="49"/>
  <c r="G45" i="50"/>
  <c r="G51" i="49"/>
  <c r="G22" i="49"/>
  <c r="AJ52" i="49"/>
  <c r="AJ65" i="49"/>
  <c r="G28" i="51"/>
  <c r="G41" i="51"/>
  <c r="AJ42" i="51"/>
  <c r="G20" i="49"/>
  <c r="AJ55" i="45"/>
  <c r="AL23" i="52"/>
  <c r="AJ13" i="50"/>
  <c r="AJ58" i="49"/>
  <c r="G37" i="49"/>
  <c r="G42" i="49"/>
  <c r="AJ56" i="50"/>
  <c r="AJ39" i="51"/>
  <c r="G52" i="51"/>
  <c r="AJ50" i="50"/>
  <c r="AL15" i="52"/>
  <c r="G10" i="46"/>
  <c r="G24" i="49"/>
  <c r="AJ20" i="51"/>
  <c r="AJ16" i="51"/>
  <c r="G7" i="49"/>
  <c r="AK14" i="52"/>
  <c r="E27" i="52"/>
  <c r="G44" i="51"/>
  <c r="AL13" i="52"/>
  <c r="AJ24" i="51"/>
  <c r="G32" i="51"/>
  <c r="AJ67" i="51"/>
  <c r="AK42" i="52"/>
  <c r="G64" i="50"/>
  <c r="AL19" i="52"/>
  <c r="AJ10" i="51"/>
  <c r="AJ10" i="47"/>
  <c r="G21" i="51"/>
  <c r="G21" i="50"/>
  <c r="AL20" i="52"/>
  <c r="G43" i="50"/>
  <c r="E44" i="52"/>
  <c r="AJ11" i="47"/>
  <c r="G9" i="45"/>
  <c r="G22" i="50"/>
  <c r="AJ50" i="45"/>
  <c r="G25" i="51"/>
  <c r="AJ11" i="45"/>
  <c r="AK44" i="52"/>
  <c r="AJ51" i="49"/>
  <c r="AL33" i="52"/>
  <c r="AJ34" i="49"/>
  <c r="AL61" i="52"/>
  <c r="AK30" i="52"/>
  <c r="AL36" i="52"/>
  <c r="AJ51" i="50"/>
  <c r="E26" i="52"/>
  <c r="AJ29" i="50"/>
  <c r="G17" i="51"/>
  <c r="AJ9" i="50"/>
  <c r="AK24" i="52"/>
  <c r="G36" i="49"/>
  <c r="G64" i="49"/>
  <c r="AL16" i="52"/>
  <c r="AK55" i="52"/>
  <c r="AJ12" i="51"/>
  <c r="AK51" i="52"/>
  <c r="G24" i="51"/>
  <c r="G9" i="47"/>
  <c r="AJ48" i="50"/>
  <c r="G33" i="49"/>
  <c r="AK32" i="52"/>
  <c r="AL18" i="52"/>
  <c r="AO31" i="7"/>
  <c r="AL7" i="7"/>
  <c r="AO2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E41" i="50"/>
  <c r="E8" i="50"/>
  <c r="AK52" i="50"/>
  <c r="AL55" i="50"/>
  <c r="AK53" i="51"/>
  <c r="AL54" i="50"/>
  <c r="AL28" i="50"/>
  <c r="AL45" i="51"/>
  <c r="AL31" i="50"/>
  <c r="E49" i="51"/>
  <c r="AL48" i="51"/>
  <c r="E30" i="51"/>
  <c r="AL32" i="51"/>
  <c r="E17" i="51"/>
  <c r="AK56" i="51"/>
  <c r="E57" i="51"/>
  <c r="E16" i="51"/>
  <c r="E31" i="51"/>
  <c r="AK14" i="51"/>
  <c r="AK8" i="51"/>
  <c r="E56" i="50"/>
  <c r="E28" i="50"/>
  <c r="E31" i="50"/>
  <c r="AK29" i="50"/>
  <c r="E21" i="50"/>
  <c r="E13" i="51"/>
  <c r="AK14" i="50"/>
  <c r="E29" i="50"/>
  <c r="AK17" i="51"/>
  <c r="AK63" i="50"/>
  <c r="E63" i="50"/>
  <c r="AL31" i="51"/>
  <c r="E43" i="50"/>
  <c r="E52" i="51"/>
  <c r="E48" i="51"/>
  <c r="E39" i="50"/>
  <c r="E38" i="50"/>
  <c r="AL34" i="51"/>
  <c r="AL20" i="50"/>
  <c r="AK18" i="51"/>
  <c r="E15" i="50"/>
  <c r="AK22" i="50"/>
  <c r="E42" i="51"/>
  <c r="E24" i="51"/>
  <c r="AK45" i="50"/>
  <c r="AK51" i="51"/>
  <c r="AK9" i="50"/>
  <c r="AL26" i="51"/>
  <c r="AK50" i="51"/>
  <c r="AL15" i="50"/>
  <c r="AL46" i="51"/>
  <c r="E50" i="51"/>
  <c r="AK35" i="50"/>
  <c r="AL21" i="50"/>
  <c r="E16" i="50"/>
  <c r="AL63" i="51"/>
  <c r="AL25" i="51"/>
  <c r="AL24" i="51"/>
  <c r="AK35" i="51"/>
  <c r="E10" i="50"/>
  <c r="AK53" i="50"/>
  <c r="AL23" i="50"/>
  <c r="AK62" i="50"/>
  <c r="E47" i="50"/>
  <c r="AL62" i="50"/>
  <c r="AK38" i="50"/>
  <c r="AL52" i="51"/>
  <c r="AK40" i="50"/>
  <c r="E47" i="51"/>
  <c r="E20" i="50"/>
  <c r="E43" i="51"/>
  <c r="AL56" i="50"/>
  <c r="AL39" i="50"/>
  <c r="AL27" i="51"/>
  <c r="E14" i="51"/>
  <c r="AK24" i="51"/>
  <c r="AL17" i="51"/>
  <c r="AL26" i="50"/>
  <c r="AK37" i="51"/>
  <c r="E48" i="50"/>
  <c r="E12" i="50"/>
  <c r="AL63" i="50"/>
  <c r="AL30" i="51"/>
  <c r="AL21" i="51"/>
  <c r="E33" i="51"/>
  <c r="E55" i="51"/>
  <c r="AL57" i="51"/>
  <c r="AK43" i="50"/>
  <c r="AL52" i="50"/>
  <c r="AK44" i="51"/>
  <c r="AL57" i="50"/>
  <c r="AK55" i="51"/>
  <c r="AL40" i="51"/>
  <c r="E13" i="49"/>
  <c r="AK33" i="51"/>
  <c r="AK57" i="50"/>
  <c r="E49" i="50"/>
  <c r="E53" i="51"/>
  <c r="AL9" i="50"/>
  <c r="E25" i="51"/>
  <c r="AK48" i="51"/>
  <c r="E55" i="49"/>
  <c r="AK31" i="50"/>
  <c r="AK11" i="50"/>
  <c r="AK12" i="50"/>
  <c r="E53" i="50"/>
  <c r="E24" i="50"/>
  <c r="AK47" i="50"/>
  <c r="AL34" i="50"/>
  <c r="AK15" i="50"/>
  <c r="AK63" i="51"/>
  <c r="AK39" i="51"/>
  <c r="AL37" i="50"/>
  <c r="E38" i="51"/>
  <c r="AL29" i="51"/>
  <c r="AL13" i="51"/>
  <c r="E20" i="51"/>
  <c r="AK16" i="50"/>
  <c r="AK11" i="51"/>
  <c r="AL45" i="50"/>
  <c r="AK20" i="51"/>
  <c r="AL38" i="50"/>
  <c r="AK13" i="51"/>
  <c r="E45" i="50"/>
  <c r="E7" i="50"/>
  <c r="AL30" i="50"/>
  <c r="AL19" i="50"/>
  <c r="E44" i="50"/>
  <c r="E55" i="50"/>
  <c r="AK42" i="50"/>
  <c r="AL24" i="50"/>
  <c r="E35" i="50"/>
  <c r="AL36" i="50"/>
  <c r="AL18" i="51"/>
  <c r="AL44" i="50"/>
  <c r="AK17" i="50"/>
  <c r="AK49" i="50"/>
  <c r="AK16" i="51"/>
  <c r="AK29" i="51"/>
  <c r="AK12" i="51"/>
  <c r="AK7" i="50"/>
  <c r="E33" i="50"/>
  <c r="AK32" i="51"/>
  <c r="AK50" i="50"/>
  <c r="E22" i="51"/>
  <c r="E23" i="51"/>
  <c r="E40" i="50"/>
  <c r="AL18" i="50"/>
  <c r="AK26" i="51"/>
  <c r="AL17" i="50"/>
  <c r="AK52" i="51"/>
  <c r="AL64" i="51"/>
  <c r="E26" i="51"/>
  <c r="AK44" i="50"/>
  <c r="AL49" i="50"/>
  <c r="AK64" i="51"/>
  <c r="E37" i="50"/>
  <c r="AK34" i="51"/>
  <c r="E51" i="50"/>
  <c r="E30" i="50"/>
  <c r="AK24" i="50"/>
  <c r="AK46" i="51"/>
  <c r="AK42" i="51"/>
  <c r="AL7" i="51"/>
  <c r="AK64" i="50"/>
  <c r="AL8" i="50"/>
  <c r="AK8" i="50"/>
  <c r="E9" i="51"/>
  <c r="E27" i="50"/>
  <c r="AL58" i="50"/>
  <c r="AK48" i="50"/>
  <c r="AK32" i="50"/>
  <c r="AL40" i="50"/>
  <c r="AK58" i="50"/>
  <c r="E58" i="50"/>
  <c r="AK22" i="51"/>
  <c r="E32" i="50"/>
  <c r="AL39" i="51"/>
  <c r="E11" i="50"/>
  <c r="AK27" i="50"/>
  <c r="E56" i="51"/>
  <c r="AK25" i="50"/>
  <c r="AK54" i="51"/>
  <c r="AK25" i="51"/>
  <c r="AL32" i="50"/>
  <c r="AL14" i="50"/>
  <c r="AL14" i="51"/>
  <c r="E32" i="51"/>
  <c r="AK41" i="51"/>
  <c r="E42" i="50"/>
  <c r="AK13" i="50"/>
  <c r="AL33" i="50"/>
  <c r="E17" i="50"/>
  <c r="AL29" i="50"/>
  <c r="AK7" i="51"/>
  <c r="AK30" i="51"/>
  <c r="AL11" i="51"/>
  <c r="E26" i="50"/>
  <c r="AL22" i="50"/>
  <c r="E54" i="50"/>
  <c r="AL22" i="51"/>
  <c r="AL41" i="51"/>
  <c r="AK21" i="50"/>
  <c r="AK34" i="50"/>
  <c r="AK10" i="51"/>
  <c r="AL25" i="50"/>
  <c r="AL19" i="51"/>
  <c r="E13" i="50"/>
  <c r="AL13" i="50"/>
  <c r="AK43" i="51"/>
  <c r="AL16" i="50"/>
  <c r="AL12" i="51"/>
  <c r="AL55" i="51"/>
  <c r="AK33" i="50"/>
  <c r="AL9" i="51"/>
  <c r="AK49" i="51"/>
  <c r="E39" i="51"/>
  <c r="E22" i="50"/>
  <c r="E36" i="50"/>
  <c r="E19" i="50"/>
  <c r="E34" i="51"/>
  <c r="AL49" i="51"/>
  <c r="E23" i="50"/>
  <c r="E58" i="51"/>
  <c r="AK54" i="50"/>
  <c r="AL64" i="50"/>
  <c r="E64" i="50"/>
  <c r="AK38" i="51"/>
  <c r="AL37" i="51"/>
  <c r="AK28" i="50"/>
  <c r="AK58" i="51"/>
  <c r="AK57" i="51"/>
  <c r="AL53" i="51"/>
  <c r="AL50" i="50"/>
  <c r="E47" i="49"/>
  <c r="AK19" i="51"/>
  <c r="AK23" i="50"/>
  <c r="E46" i="50"/>
  <c r="AK56" i="50"/>
  <c r="AK18" i="50"/>
  <c r="AK40" i="51"/>
  <c r="E62" i="50"/>
  <c r="AL7" i="50"/>
  <c r="AK27" i="51"/>
  <c r="E18" i="50"/>
  <c r="AL47" i="51"/>
  <c r="AL12" i="50"/>
  <c r="AL54" i="51"/>
  <c r="E57" i="50"/>
  <c r="E62" i="51"/>
  <c r="AL15" i="51"/>
  <c r="AL33" i="51"/>
  <c r="AK37" i="50"/>
  <c r="AL50" i="51"/>
  <c r="E34" i="50"/>
  <c r="E25" i="50"/>
  <c r="AL36" i="51"/>
  <c r="AL10" i="50"/>
  <c r="AL51" i="51"/>
  <c r="E51" i="51"/>
  <c r="E63" i="51"/>
  <c r="AL48" i="50"/>
  <c r="AK21" i="51"/>
  <c r="E21" i="51"/>
  <c r="AK28" i="51"/>
  <c r="E50" i="50"/>
  <c r="E28" i="51"/>
  <c r="E36" i="51"/>
  <c r="AL35" i="51"/>
  <c r="AL35" i="50"/>
  <c r="AK9" i="51"/>
  <c r="AK39" i="50"/>
  <c r="E27" i="51"/>
  <c r="AK62" i="51"/>
  <c r="AK23" i="51"/>
  <c r="AL47" i="50"/>
  <c r="E46" i="51"/>
  <c r="E41" i="51"/>
  <c r="E40" i="51"/>
  <c r="E64" i="51"/>
  <c r="AL38" i="51"/>
  <c r="AL44" i="51"/>
  <c r="AK47" i="51"/>
  <c r="E44" i="51"/>
  <c r="AK51" i="50"/>
  <c r="E45" i="51"/>
  <c r="AK45" i="51"/>
  <c r="AK20" i="50"/>
  <c r="E15" i="49"/>
  <c r="AL56" i="51"/>
  <c r="AL43" i="51"/>
  <c r="E19" i="51"/>
  <c r="AL58" i="51"/>
  <c r="E10" i="51"/>
  <c r="AL51" i="50"/>
  <c r="AK10" i="50"/>
  <c r="E29" i="51"/>
  <c r="AL41" i="50"/>
  <c r="AK36" i="50"/>
  <c r="AK46" i="50"/>
  <c r="AL42" i="50"/>
  <c r="AK26" i="50"/>
  <c r="E9" i="50"/>
  <c r="E52" i="50"/>
  <c r="AL46" i="50"/>
  <c r="AL8" i="51"/>
  <c r="AL27" i="50"/>
  <c r="AK55" i="50"/>
  <c r="E8" i="51"/>
  <c r="AL20" i="51"/>
  <c r="AL10" i="51"/>
  <c r="AK19" i="50"/>
  <c r="AK31" i="51"/>
  <c r="AK41" i="50"/>
  <c r="E18" i="51"/>
  <c r="AL23" i="51"/>
  <c r="AL43" i="50"/>
  <c r="E11" i="51"/>
  <c r="AK30" i="50"/>
  <c r="AL53" i="50"/>
  <c r="E54" i="51"/>
  <c r="AK36" i="51"/>
  <c r="E35" i="51"/>
  <c r="AL42" i="51"/>
  <c r="AL28" i="51"/>
  <c r="E37" i="51"/>
  <c r="AL16" i="51"/>
  <c r="E14" i="50"/>
  <c r="AL62" i="51"/>
  <c r="AK15" i="51"/>
  <c r="AL11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G44" i="43"/>
  <c r="G56" i="47"/>
  <c r="AK52" i="49"/>
  <c r="AJ14" i="45"/>
  <c r="AL36" i="49"/>
  <c r="AJ66" i="45"/>
  <c r="G43" i="46"/>
  <c r="AK55" i="49"/>
  <c r="AL8" i="49"/>
  <c r="AL52" i="49"/>
  <c r="G50" i="43"/>
  <c r="AJ10" i="43"/>
  <c r="G60" i="47"/>
  <c r="AJ30" i="46"/>
  <c r="E13" i="47"/>
  <c r="AK51" i="49"/>
  <c r="AK20" i="45"/>
  <c r="G39" i="46"/>
  <c r="AL42" i="45"/>
  <c r="G20" i="45"/>
  <c r="AK59" i="49"/>
  <c r="E52" i="49"/>
  <c r="E48" i="49"/>
  <c r="AJ36" i="45"/>
  <c r="G11" i="45"/>
  <c r="AJ24" i="43"/>
  <c r="AJ64" i="45"/>
  <c r="G55" i="43"/>
  <c r="E8" i="45"/>
  <c r="AJ59" i="43"/>
  <c r="G47" i="43"/>
  <c r="AJ65" i="47"/>
  <c r="E66" i="47"/>
  <c r="E11" i="47"/>
  <c r="G29" i="46"/>
  <c r="AJ21" i="46"/>
  <c r="AK44" i="49"/>
  <c r="AK46" i="47"/>
  <c r="E9" i="45"/>
  <c r="AL21" i="49"/>
  <c r="AJ23" i="45"/>
  <c r="AL17" i="49"/>
  <c r="E18" i="49"/>
  <c r="G14" i="47"/>
  <c r="AK21" i="49"/>
  <c r="AK62" i="49"/>
  <c r="AL30" i="49"/>
  <c r="AL38" i="49"/>
  <c r="AJ23" i="47"/>
  <c r="AJ51" i="46"/>
  <c r="E41" i="49"/>
  <c r="G25" i="47"/>
  <c r="G26" i="45"/>
  <c r="G38" i="46"/>
  <c r="E12" i="47"/>
  <c r="G33" i="45"/>
  <c r="G45" i="45"/>
  <c r="AK22" i="49"/>
  <c r="AJ7" i="46"/>
  <c r="G17" i="43"/>
  <c r="AJ14" i="43"/>
  <c r="AL58" i="49"/>
  <c r="AJ51" i="43"/>
  <c r="AJ16" i="47"/>
  <c r="AL15" i="49"/>
  <c r="AK63" i="49"/>
  <c r="G46" i="46"/>
  <c r="G10" i="47"/>
  <c r="AJ15" i="47"/>
  <c r="AJ48" i="45"/>
  <c r="G41" i="46"/>
  <c r="G54" i="46"/>
  <c r="G31" i="46"/>
  <c r="AJ22" i="45"/>
  <c r="AJ42" i="47"/>
  <c r="G41" i="45"/>
  <c r="G13" i="43"/>
  <c r="G30" i="46"/>
  <c r="AK33" i="49"/>
  <c r="E10" i="46"/>
  <c r="AJ38" i="43"/>
  <c r="AK49" i="49"/>
  <c r="E56" i="49"/>
  <c r="AJ19" i="47"/>
  <c r="AJ51" i="47"/>
  <c r="AJ40" i="47"/>
  <c r="AL48" i="49"/>
  <c r="AJ13" i="45"/>
  <c r="G19" i="46"/>
  <c r="E50" i="49"/>
  <c r="G25" i="43"/>
  <c r="G29" i="47"/>
  <c r="G46" i="45"/>
  <c r="G39" i="43"/>
  <c r="G35" i="45"/>
  <c r="AJ52" i="43"/>
  <c r="AJ17" i="45"/>
  <c r="E37" i="49"/>
  <c r="AJ19" i="46"/>
  <c r="AJ54" i="47"/>
  <c r="G10" i="43"/>
  <c r="G62" i="45"/>
  <c r="G37" i="47"/>
  <c r="G49" i="46"/>
  <c r="AK40" i="46"/>
  <c r="E31" i="49"/>
  <c r="E57" i="49"/>
  <c r="G39" i="45"/>
  <c r="G23" i="46"/>
  <c r="AL23" i="49"/>
  <c r="G45" i="43"/>
  <c r="E8" i="47"/>
  <c r="AL24" i="45"/>
  <c r="AJ22" i="46"/>
  <c r="AK7" i="45"/>
  <c r="E63" i="47"/>
  <c r="AJ33" i="47"/>
  <c r="AJ64" i="47"/>
  <c r="E32" i="49"/>
  <c r="AL28" i="46"/>
  <c r="G52" i="43"/>
  <c r="E61" i="47"/>
  <c r="AK20" i="49"/>
  <c r="AJ7" i="43"/>
  <c r="AK8" i="49"/>
  <c r="G48" i="46"/>
  <c r="E16" i="46"/>
  <c r="G44" i="47"/>
  <c r="AJ47" i="43"/>
  <c r="AJ59" i="47"/>
  <c r="G40" i="47"/>
  <c r="AL14" i="49"/>
  <c r="AJ60" i="47"/>
  <c r="E34" i="45"/>
  <c r="E16" i="47"/>
  <c r="AK19" i="49"/>
  <c r="G9" i="43"/>
  <c r="AK11" i="45"/>
  <c r="AJ46" i="43"/>
  <c r="G26" i="47"/>
  <c r="E33" i="49"/>
  <c r="AL59" i="49"/>
  <c r="AJ34" i="47"/>
  <c r="E9" i="46"/>
  <c r="AL16" i="49"/>
  <c r="E36" i="49"/>
  <c r="AJ47" i="46"/>
  <c r="G40" i="46"/>
  <c r="G24" i="45"/>
  <c r="G47" i="45"/>
  <c r="AJ24" i="46"/>
  <c r="G15" i="47"/>
  <c r="AJ57" i="43"/>
  <c r="G44" i="45"/>
  <c r="G18" i="45"/>
  <c r="E26" i="49"/>
  <c r="G62" i="46"/>
  <c r="G23" i="47"/>
  <c r="G10" i="45"/>
  <c r="AJ38" i="45"/>
  <c r="AJ35" i="43"/>
  <c r="G64" i="45"/>
  <c r="AJ19" i="45"/>
  <c r="AJ66" i="43"/>
  <c r="E51" i="49"/>
  <c r="AL10" i="45"/>
  <c r="G40" i="43"/>
  <c r="AK10" i="45"/>
  <c r="G48" i="43"/>
  <c r="AK56" i="49"/>
  <c r="AL16" i="46"/>
  <c r="AJ41" i="43"/>
  <c r="AL19" i="49"/>
  <c r="AL27" i="49"/>
  <c r="E46" i="49"/>
  <c r="AK32" i="46"/>
  <c r="G48" i="47"/>
  <c r="AJ30" i="45"/>
  <c r="AL57" i="46"/>
  <c r="AK11" i="49"/>
  <c r="G57" i="43"/>
  <c r="AJ54" i="46"/>
  <c r="AJ33" i="43"/>
  <c r="G8" i="43"/>
  <c r="AK39" i="49"/>
  <c r="G51" i="46"/>
  <c r="AL42" i="49"/>
  <c r="G27" i="43"/>
  <c r="AJ28" i="43"/>
  <c r="G52" i="46"/>
  <c r="AL7" i="45"/>
  <c r="G52" i="47"/>
  <c r="G65" i="45"/>
  <c r="E14" i="45"/>
  <c r="AL40" i="46"/>
  <c r="AK38" i="49"/>
  <c r="AJ32" i="47"/>
  <c r="G47" i="47"/>
  <c r="AJ37" i="46"/>
  <c r="G27" i="46"/>
  <c r="AJ20" i="43"/>
  <c r="G53" i="45"/>
  <c r="AJ31" i="47"/>
  <c r="AJ29" i="47"/>
  <c r="AL10" i="49"/>
  <c r="AJ53" i="47"/>
  <c r="G24" i="46"/>
  <c r="AK26" i="49"/>
  <c r="AJ55" i="47"/>
  <c r="AJ39" i="43"/>
  <c r="G31" i="47"/>
  <c r="AK53" i="49"/>
  <c r="G42" i="45"/>
  <c r="G41" i="43"/>
  <c r="E19" i="47"/>
  <c r="AJ27" i="45"/>
  <c r="E14" i="46"/>
  <c r="AL32" i="46"/>
  <c r="AJ44" i="43"/>
  <c r="AL25" i="49"/>
  <c r="AJ49" i="45"/>
  <c r="G42" i="43"/>
  <c r="AJ67" i="47"/>
  <c r="AK42" i="45"/>
  <c r="G15" i="46"/>
  <c r="G51" i="45"/>
  <c r="E20" i="47"/>
  <c r="AJ52" i="45"/>
  <c r="AK12" i="49"/>
  <c r="AL50" i="46"/>
  <c r="AJ49" i="43"/>
  <c r="AJ37" i="45"/>
  <c r="G17" i="47"/>
  <c r="G35" i="46"/>
  <c r="E16" i="49"/>
  <c r="AJ34" i="46"/>
  <c r="AL41" i="49"/>
  <c r="E49" i="49"/>
  <c r="E35" i="49"/>
  <c r="AJ8" i="47"/>
  <c r="AJ43" i="45"/>
  <c r="G62" i="43"/>
  <c r="G35" i="47"/>
  <c r="AJ10" i="46"/>
  <c r="AK16" i="49"/>
  <c r="AJ15" i="45"/>
  <c r="G54" i="43"/>
  <c r="AJ62" i="46"/>
  <c r="AJ29" i="46"/>
  <c r="AK64" i="49"/>
  <c r="G43" i="43"/>
  <c r="AL31" i="46"/>
  <c r="AJ50" i="43"/>
  <c r="AJ63" i="47"/>
  <c r="G58" i="45"/>
  <c r="E17" i="45"/>
  <c r="AL23" i="46"/>
  <c r="G49" i="45"/>
  <c r="E12" i="49"/>
  <c r="G48" i="45"/>
  <c r="E30" i="49"/>
  <c r="AL26" i="49"/>
  <c r="AJ9" i="47"/>
  <c r="AJ24" i="47"/>
  <c r="G11" i="43"/>
  <c r="AL64" i="49"/>
  <c r="AJ28" i="47"/>
  <c r="AK28" i="49"/>
  <c r="E29" i="49"/>
  <c r="AK20" i="46"/>
  <c r="AL12" i="49"/>
  <c r="G22" i="47"/>
  <c r="AJ41" i="47"/>
  <c r="AJ40" i="43"/>
  <c r="G55" i="45"/>
  <c r="AJ42" i="43"/>
  <c r="AJ65" i="46"/>
  <c r="AK17" i="49"/>
  <c r="AJ42" i="46"/>
  <c r="AL43" i="49"/>
  <c r="E44" i="49"/>
  <c r="AK28" i="45"/>
  <c r="AJ53" i="43"/>
  <c r="AL51" i="49"/>
  <c r="AJ58" i="46"/>
  <c r="AJ62" i="45"/>
  <c r="G54" i="45"/>
  <c r="AJ8" i="45"/>
  <c r="AK25" i="46"/>
  <c r="AJ17" i="43"/>
  <c r="AK43" i="49"/>
  <c r="G39" i="47"/>
  <c r="G59" i="46"/>
  <c r="E24" i="49"/>
  <c r="AJ26" i="46"/>
  <c r="AJ34" i="45"/>
  <c r="AL29" i="49"/>
  <c r="AK11" i="47"/>
  <c r="G51" i="43"/>
  <c r="AL31" i="49"/>
  <c r="AJ7" i="47"/>
  <c r="G59" i="45"/>
  <c r="G37" i="46"/>
  <c r="AK16" i="45"/>
  <c r="AK9" i="49"/>
  <c r="G34" i="46"/>
  <c r="AK50" i="45"/>
  <c r="AL46" i="49"/>
  <c r="E25" i="49"/>
  <c r="G65" i="46"/>
  <c r="AK37" i="49"/>
  <c r="G63" i="43"/>
  <c r="AJ27" i="43"/>
  <c r="AL50" i="45"/>
  <c r="G34" i="47"/>
  <c r="E21" i="49"/>
  <c r="AJ8" i="46"/>
  <c r="AJ18" i="47"/>
  <c r="AJ51" i="45"/>
  <c r="AL55" i="49"/>
  <c r="AK57" i="46"/>
  <c r="G15" i="43"/>
  <c r="G7" i="47"/>
  <c r="AJ45" i="47"/>
  <c r="G28" i="43"/>
  <c r="G30" i="47"/>
  <c r="AJ26" i="47"/>
  <c r="G33" i="43"/>
  <c r="G20" i="43"/>
  <c r="G53" i="46"/>
  <c r="AJ53" i="46"/>
  <c r="AJ30" i="43"/>
  <c r="AK18" i="49"/>
  <c r="AJ55" i="46"/>
  <c r="AK23" i="46"/>
  <c r="AJ9" i="43"/>
  <c r="AJ12" i="43"/>
  <c r="AL10" i="47"/>
  <c r="G57" i="45"/>
  <c r="G26" i="46"/>
  <c r="AJ15" i="43"/>
  <c r="E28" i="47"/>
  <c r="AK40" i="49"/>
  <c r="G41" i="47"/>
  <c r="AJ58" i="45"/>
  <c r="E10" i="49"/>
  <c r="AJ56" i="43"/>
  <c r="E9" i="49"/>
  <c r="AJ67" i="43"/>
  <c r="AK15" i="49"/>
  <c r="AJ60" i="45"/>
  <c r="G36" i="45"/>
  <c r="AK34" i="49"/>
  <c r="AJ8" i="43"/>
  <c r="AK25" i="49"/>
  <c r="G31" i="43"/>
  <c r="E28" i="49"/>
  <c r="AJ18" i="45"/>
  <c r="AK39" i="45"/>
  <c r="AK58" i="47"/>
  <c r="AK48" i="49"/>
  <c r="AJ64" i="43"/>
  <c r="AJ25" i="47"/>
  <c r="AJ26" i="43"/>
  <c r="AJ35" i="45"/>
  <c r="E54" i="49"/>
  <c r="AL34" i="49"/>
  <c r="AK47" i="49"/>
  <c r="G15" i="45"/>
  <c r="G38" i="47"/>
  <c r="AJ36" i="46"/>
  <c r="G31" i="45"/>
  <c r="G22" i="46"/>
  <c r="G56" i="43"/>
  <c r="G37" i="43"/>
  <c r="G32" i="46"/>
  <c r="AL11" i="49"/>
  <c r="G35" i="43"/>
  <c r="AJ48" i="43"/>
  <c r="AJ12" i="45"/>
  <c r="AJ19" i="43"/>
  <c r="AJ44" i="45"/>
  <c r="AJ39" i="46"/>
  <c r="AK50" i="46"/>
  <c r="E38" i="49"/>
  <c r="G7" i="43"/>
  <c r="AL11" i="45"/>
  <c r="AJ46" i="45"/>
  <c r="AJ37" i="47"/>
  <c r="AJ36" i="43"/>
  <c r="AJ45" i="45"/>
  <c r="E62" i="49"/>
  <c r="G18" i="46"/>
  <c r="AJ50" i="47"/>
  <c r="AJ63" i="43"/>
  <c r="AJ38" i="46"/>
  <c r="G23" i="43"/>
  <c r="AJ60" i="43"/>
  <c r="AK58" i="49"/>
  <c r="AJ15" i="46"/>
  <c r="AJ56" i="47"/>
  <c r="AJ31" i="45"/>
  <c r="AJ64" i="46"/>
  <c r="AJ57" i="45"/>
  <c r="AJ13" i="43"/>
  <c r="G53" i="43"/>
  <c r="AL48" i="46"/>
  <c r="G32" i="43"/>
  <c r="AL49" i="49"/>
  <c r="AL7" i="49"/>
  <c r="G43" i="45"/>
  <c r="E27" i="47"/>
  <c r="G21" i="47"/>
  <c r="AK55" i="45"/>
  <c r="AJ56" i="46"/>
  <c r="AK36" i="49"/>
  <c r="G30" i="43"/>
  <c r="G53" i="47"/>
  <c r="AJ62" i="47"/>
  <c r="AJ56" i="45"/>
  <c r="E64" i="47"/>
  <c r="G28" i="46"/>
  <c r="AJ9" i="45"/>
  <c r="G57" i="46"/>
  <c r="E43" i="49"/>
  <c r="G36" i="46"/>
  <c r="AK31" i="46"/>
  <c r="AL44" i="49"/>
  <c r="G64" i="46"/>
  <c r="AL56" i="49"/>
  <c r="AJ67" i="46"/>
  <c r="AJ21" i="43"/>
  <c r="E12" i="46"/>
  <c r="AJ22" i="47"/>
  <c r="G56" i="46"/>
  <c r="AJ44" i="47"/>
  <c r="AK7" i="49"/>
  <c r="AK47" i="45"/>
  <c r="AJ11" i="46"/>
  <c r="AJ13" i="46"/>
  <c r="G18" i="47"/>
  <c r="AJ52" i="47"/>
  <c r="AL22" i="49"/>
  <c r="G47" i="46"/>
  <c r="AK30" i="49"/>
  <c r="E8" i="49"/>
  <c r="AK48" i="46"/>
  <c r="E23" i="49"/>
  <c r="AL63" i="49"/>
  <c r="E14" i="49"/>
  <c r="AJ65" i="45"/>
  <c r="AJ33" i="46"/>
  <c r="AJ61" i="45"/>
  <c r="G46" i="43"/>
  <c r="AJ31" i="43"/>
  <c r="E13" i="45"/>
  <c r="AJ45" i="43"/>
  <c r="AJ60" i="46"/>
  <c r="G38" i="45"/>
  <c r="AL40" i="49"/>
  <c r="E22" i="49"/>
  <c r="G32" i="47"/>
  <c r="G45" i="47"/>
  <c r="G36" i="43"/>
  <c r="AK31" i="49"/>
  <c r="AJ17" i="47"/>
  <c r="AL50" i="49"/>
  <c r="AK24" i="45"/>
  <c r="AL33" i="49"/>
  <c r="AJ30" i="47"/>
  <c r="AL24" i="49"/>
  <c r="E65" i="47"/>
  <c r="AJ40" i="45"/>
  <c r="G55" i="46"/>
  <c r="AJ14" i="46"/>
  <c r="E42" i="49"/>
  <c r="G58" i="43"/>
  <c r="AJ61" i="43"/>
  <c r="E40" i="49"/>
  <c r="AK16" i="46"/>
  <c r="G24" i="43"/>
  <c r="AJ63" i="45"/>
  <c r="G63" i="46"/>
  <c r="AL39" i="49"/>
  <c r="G23" i="45"/>
  <c r="E64" i="49"/>
  <c r="G59" i="43"/>
  <c r="G59" i="47"/>
  <c r="G51" i="47"/>
  <c r="AJ49" i="47"/>
  <c r="AL46" i="47"/>
  <c r="AL18" i="49"/>
  <c r="G58" i="46"/>
  <c r="AL45" i="49"/>
  <c r="E9" i="47"/>
  <c r="AL16" i="45"/>
  <c r="AJ32" i="45"/>
  <c r="G45" i="46"/>
  <c r="G19" i="43"/>
  <c r="G18" i="43"/>
  <c r="E12" i="45"/>
  <c r="AJ29" i="43"/>
  <c r="G38" i="43"/>
  <c r="AJ35" i="46"/>
  <c r="E27" i="49"/>
  <c r="G58" i="47"/>
  <c r="G16" i="43"/>
  <c r="E34" i="49"/>
  <c r="E21" i="45"/>
  <c r="AL25" i="46"/>
  <c r="G30" i="45"/>
  <c r="G14" i="43"/>
  <c r="E39" i="49"/>
  <c r="G49" i="47"/>
  <c r="AJ26" i="45"/>
  <c r="AK28" i="46"/>
  <c r="AJ9" i="46"/>
  <c r="AK32" i="49"/>
  <c r="AL11" i="47"/>
  <c r="AL32" i="49"/>
  <c r="G20" i="46"/>
  <c r="AJ23" i="43"/>
  <c r="AJ29" i="45"/>
  <c r="AJ65" i="43"/>
  <c r="AL28" i="45"/>
  <c r="AJ33" i="45"/>
  <c r="E45" i="49"/>
  <c r="AL20" i="45"/>
  <c r="AJ44" i="46"/>
  <c r="AJ27" i="47"/>
  <c r="G56" i="45"/>
  <c r="G26" i="43"/>
  <c r="G29" i="43"/>
  <c r="AJ18" i="43"/>
  <c r="AL58" i="47"/>
  <c r="AJ46" i="46"/>
  <c r="AL28" i="49"/>
  <c r="G25" i="46"/>
  <c r="AK24" i="49"/>
  <c r="AJ12" i="46"/>
  <c r="G17" i="46"/>
  <c r="G24" i="47"/>
  <c r="G64" i="43"/>
  <c r="AK10" i="49"/>
  <c r="AK42" i="49"/>
  <c r="AL20" i="46"/>
  <c r="AJ37" i="43"/>
  <c r="G49" i="43"/>
  <c r="E29" i="45"/>
  <c r="AK27" i="49"/>
  <c r="E16" i="45"/>
  <c r="AK46" i="49"/>
  <c r="G28" i="45"/>
  <c r="AJ41" i="45"/>
  <c r="AJ66" i="47"/>
  <c r="G52" i="45"/>
  <c r="AJ58" i="43"/>
  <c r="AL62" i="49"/>
  <c r="G21" i="46"/>
  <c r="AK54" i="49"/>
  <c r="AJ41" i="46"/>
  <c r="E17" i="49"/>
  <c r="G34" i="43"/>
  <c r="G50" i="46"/>
  <c r="AJ13" i="47"/>
  <c r="G40" i="45"/>
  <c r="AJ35" i="47"/>
  <c r="G50" i="45"/>
  <c r="AK13" i="49"/>
  <c r="AL35" i="49"/>
  <c r="AJ47" i="47"/>
  <c r="G7" i="46"/>
  <c r="G33" i="46"/>
  <c r="G55" i="47"/>
  <c r="AK45" i="49"/>
  <c r="G57" i="47"/>
  <c r="AJ21" i="47"/>
  <c r="AJ43" i="46"/>
  <c r="AL55" i="45"/>
  <c r="AJ43" i="47"/>
  <c r="AJ27" i="46"/>
  <c r="E53" i="49"/>
  <c r="AL37" i="49"/>
  <c r="G54" i="47"/>
  <c r="AJ54" i="43"/>
  <c r="G27" i="45"/>
  <c r="G12" i="43"/>
  <c r="AJ52" i="46"/>
  <c r="AJ17" i="46"/>
  <c r="AK10" i="47"/>
  <c r="AJ62" i="43"/>
  <c r="AL47" i="45"/>
  <c r="E8" i="46"/>
  <c r="E19" i="49"/>
  <c r="AJ48" i="47"/>
  <c r="AJ49" i="46"/>
  <c r="E59" i="49"/>
  <c r="E7" i="45"/>
  <c r="AJ61" i="47"/>
  <c r="G37" i="45"/>
  <c r="E13" i="46"/>
  <c r="AL47" i="49"/>
  <c r="E11" i="46"/>
  <c r="AL9" i="49"/>
  <c r="E44" i="46"/>
  <c r="G32" i="45"/>
  <c r="AJ20" i="47"/>
  <c r="G21" i="43"/>
  <c r="AJ66" i="46"/>
  <c r="G36" i="47"/>
  <c r="AL13" i="49"/>
  <c r="E63" i="49"/>
  <c r="AJ21" i="45"/>
  <c r="G22" i="43"/>
  <c r="G22" i="45"/>
  <c r="AL39" i="45"/>
  <c r="E11" i="49"/>
  <c r="G42" i="46"/>
  <c r="E7" i="49"/>
  <c r="AL20" i="49"/>
  <c r="AJ53" i="45"/>
  <c r="AL53" i="49"/>
  <c r="AJ32" i="43"/>
  <c r="AJ45" i="46"/>
  <c r="AJ59" i="46"/>
  <c r="G46" i="47"/>
  <c r="AJ25" i="45"/>
  <c r="AJ67" i="45"/>
  <c r="AJ63" i="46"/>
  <c r="G19" i="45"/>
  <c r="AJ38" i="47"/>
  <c r="AK41" i="49"/>
  <c r="AJ57" i="47"/>
  <c r="AJ55" i="43"/>
  <c r="AJ39" i="47"/>
  <c r="E20" i="49"/>
  <c r="AJ43" i="43"/>
  <c r="AL54" i="49"/>
  <c r="AJ16" i="43"/>
  <c r="AK57" i="49"/>
  <c r="E25" i="45"/>
  <c r="G42" i="47"/>
  <c r="AK35" i="49"/>
  <c r="G33" i="47"/>
  <c r="AL57" i="49"/>
  <c r="AJ12" i="47"/>
  <c r="AJ59" i="45"/>
  <c r="AJ18" i="46"/>
  <c r="E58" i="49"/>
  <c r="G43" i="47"/>
  <c r="AJ61" i="46"/>
  <c r="AJ11" i="43"/>
  <c r="AJ36" i="47"/>
  <c r="AJ34" i="43"/>
  <c r="AK50" i="49"/>
  <c r="AK23" i="49"/>
  <c r="AJ25" i="43"/>
  <c r="AJ54" i="45"/>
  <c r="AJ14" i="47"/>
  <c r="AK14" i="49"/>
  <c r="AJ22" i="43"/>
  <c r="G63" i="45"/>
  <c r="AK29" i="49"/>
  <c r="G50" i="47"/>
  <c r="AR11" i="7"/>
  <c r="AR21" i="7"/>
  <c r="AR3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K8" i="45"/>
  <c r="AL8" i="43"/>
  <c r="AL45" i="47"/>
  <c r="AL65" i="47"/>
  <c r="AK42" i="46"/>
  <c r="AL33" i="43"/>
  <c r="AL41" i="45"/>
  <c r="AK15" i="46"/>
  <c r="AL52" i="46"/>
  <c r="AK51" i="43"/>
  <c r="AK41" i="45"/>
  <c r="AL63" i="45"/>
  <c r="AL14" i="46"/>
  <c r="E49" i="46"/>
  <c r="AL54" i="43"/>
  <c r="AL62" i="43"/>
  <c r="AL45" i="43"/>
  <c r="AK9" i="46"/>
  <c r="AL24" i="43"/>
  <c r="E24" i="46"/>
  <c r="AK43" i="43"/>
  <c r="E23" i="46"/>
  <c r="E41" i="43"/>
  <c r="AL15" i="45"/>
  <c r="E46" i="45"/>
  <c r="AK21" i="46"/>
  <c r="AL20" i="43"/>
  <c r="AK53" i="46"/>
  <c r="AL17" i="43"/>
  <c r="AL43" i="47"/>
  <c r="E35" i="47"/>
  <c r="AL43" i="46"/>
  <c r="AL27" i="46"/>
  <c r="E49" i="45"/>
  <c r="E33" i="43"/>
  <c r="AL35" i="47"/>
  <c r="E19" i="43"/>
  <c r="AL49" i="45"/>
  <c r="E52" i="43"/>
  <c r="AL7" i="43"/>
  <c r="E22" i="46"/>
  <c r="AK48" i="45"/>
  <c r="E54" i="45"/>
  <c r="AL36" i="47"/>
  <c r="AL56" i="46"/>
  <c r="E51" i="45"/>
  <c r="E45" i="47"/>
  <c r="AL30" i="46"/>
  <c r="AK35" i="45"/>
  <c r="E47" i="43"/>
  <c r="E36" i="47"/>
  <c r="AK19" i="43"/>
  <c r="E7" i="43"/>
  <c r="AL31" i="45"/>
  <c r="AK55" i="43"/>
  <c r="E31" i="43"/>
  <c r="AL29" i="45"/>
  <c r="AK50" i="47"/>
  <c r="AK45" i="45"/>
  <c r="AL64" i="47"/>
  <c r="E39" i="45"/>
  <c r="AK66" i="47"/>
  <c r="AL14" i="43"/>
  <c r="E22" i="45"/>
  <c r="AK49" i="46"/>
  <c r="E18" i="45"/>
  <c r="AK29" i="45"/>
  <c r="AK22" i="43"/>
  <c r="AK60" i="46"/>
  <c r="AK44" i="45"/>
  <c r="AK55" i="46"/>
  <c r="AL26" i="45"/>
  <c r="AK52" i="46"/>
  <c r="E27" i="45"/>
  <c r="AL31" i="47"/>
  <c r="AL30" i="45"/>
  <c r="AK19" i="45"/>
  <c r="E15" i="47"/>
  <c r="E38" i="47"/>
  <c r="AK18" i="45"/>
  <c r="AL8" i="46"/>
  <c r="AK14" i="46"/>
  <c r="AL66" i="47"/>
  <c r="AK9" i="45"/>
  <c r="AK58" i="43"/>
  <c r="AK13" i="47"/>
  <c r="E35" i="45"/>
  <c r="AK7" i="46"/>
  <c r="E42" i="45"/>
  <c r="E14" i="43"/>
  <c r="AK23" i="43"/>
  <c r="AK48" i="47"/>
  <c r="E48" i="45"/>
  <c r="E25" i="43"/>
  <c r="E7" i="46"/>
  <c r="AK56" i="47"/>
  <c r="E39" i="43"/>
  <c r="AK13" i="46"/>
  <c r="E24" i="47"/>
  <c r="AL30" i="43"/>
  <c r="E40" i="45"/>
  <c r="E52" i="47"/>
  <c r="AK59" i="46"/>
  <c r="AL37" i="46"/>
  <c r="AL63" i="43"/>
  <c r="AL36" i="46"/>
  <c r="AL51" i="46"/>
  <c r="AK8" i="46"/>
  <c r="AK56" i="45"/>
  <c r="AL36" i="45"/>
  <c r="AL48" i="43"/>
  <c r="E25" i="46"/>
  <c r="AK12" i="43"/>
  <c r="AL42" i="43"/>
  <c r="AL23" i="45"/>
  <c r="E26" i="45"/>
  <c r="AK45" i="47"/>
  <c r="AL7" i="46"/>
  <c r="AL37" i="47"/>
  <c r="AL12" i="47"/>
  <c r="AK51" i="46"/>
  <c r="AK45" i="43"/>
  <c r="E26" i="43"/>
  <c r="E46" i="47"/>
  <c r="AK22" i="47"/>
  <c r="AK55" i="47"/>
  <c r="AL14" i="47"/>
  <c r="AK38" i="43"/>
  <c r="AK63" i="43"/>
  <c r="E30" i="46"/>
  <c r="E21" i="43"/>
  <c r="AK32" i="45"/>
  <c r="AL19" i="45"/>
  <c r="AL43" i="45"/>
  <c r="E14" i="47"/>
  <c r="E41" i="45"/>
  <c r="AK34" i="43"/>
  <c r="E53" i="45"/>
  <c r="AL56" i="43"/>
  <c r="AL42" i="47"/>
  <c r="E58" i="45"/>
  <c r="E15" i="43"/>
  <c r="AK12" i="45"/>
  <c r="AL59" i="43"/>
  <c r="AK35" i="47"/>
  <c r="AL15" i="46"/>
  <c r="AK42" i="47"/>
  <c r="E29" i="43"/>
  <c r="AK65" i="46"/>
  <c r="AL38" i="43"/>
  <c r="E59" i="47"/>
  <c r="E56" i="43"/>
  <c r="E50" i="47"/>
  <c r="AL45" i="46"/>
  <c r="AL64" i="45"/>
  <c r="AK21" i="45"/>
  <c r="AK49" i="45"/>
  <c r="AK43" i="46"/>
  <c r="AL60" i="47"/>
  <c r="E59" i="46"/>
  <c r="AK54" i="43"/>
  <c r="AL54" i="47"/>
  <c r="AL26" i="47"/>
  <c r="AL62" i="45"/>
  <c r="E53" i="46"/>
  <c r="E32" i="43"/>
  <c r="AK43" i="45"/>
  <c r="AK51" i="45"/>
  <c r="AK21" i="47"/>
  <c r="E41" i="46"/>
  <c r="AK16" i="47"/>
  <c r="AK22" i="45"/>
  <c r="AK56" i="43"/>
  <c r="AL34" i="46"/>
  <c r="AL15" i="47"/>
  <c r="E55" i="45"/>
  <c r="E11" i="45"/>
  <c r="AL11" i="46"/>
  <c r="AL9" i="47"/>
  <c r="AL50" i="47"/>
  <c r="AK60" i="47"/>
  <c r="AK65" i="47"/>
  <c r="AL24" i="46"/>
  <c r="AK24" i="46"/>
  <c r="AK28" i="47"/>
  <c r="AK12" i="46"/>
  <c r="AL21" i="47"/>
  <c r="AK49" i="43"/>
  <c r="E29" i="46"/>
  <c r="AK10" i="43"/>
  <c r="AK27" i="47"/>
  <c r="AL18" i="43"/>
  <c r="AL63" i="46"/>
  <c r="AL12" i="43"/>
  <c r="AK63" i="46"/>
  <c r="AL30" i="47"/>
  <c r="AL37" i="43"/>
  <c r="AK46" i="45"/>
  <c r="AL49" i="47"/>
  <c r="AK29" i="47"/>
  <c r="AK40" i="45"/>
  <c r="AK7" i="47"/>
  <c r="AL12" i="46"/>
  <c r="AK65" i="45"/>
  <c r="AL33" i="45"/>
  <c r="AK41" i="47"/>
  <c r="AK42" i="43"/>
  <c r="E19" i="45"/>
  <c r="AK30" i="47"/>
  <c r="E43" i="45"/>
  <c r="AL22" i="46"/>
  <c r="AK24" i="47"/>
  <c r="AK37" i="43"/>
  <c r="AK25" i="47"/>
  <c r="AK54" i="46"/>
  <c r="E34" i="47"/>
  <c r="E56" i="46"/>
  <c r="AL52" i="47"/>
  <c r="E51" i="46"/>
  <c r="E26" i="47"/>
  <c r="E36" i="43"/>
  <c r="E57" i="43"/>
  <c r="E10" i="45"/>
  <c r="E7" i="47"/>
  <c r="AK27" i="46"/>
  <c r="E31" i="45"/>
  <c r="E29" i="47"/>
  <c r="AL34" i="45"/>
  <c r="AK15" i="43"/>
  <c r="E17" i="43"/>
  <c r="E21" i="46"/>
  <c r="AK59" i="45"/>
  <c r="AK35" i="46"/>
  <c r="E26" i="46"/>
  <c r="AK41" i="43"/>
  <c r="E35" i="46"/>
  <c r="AL38" i="46"/>
  <c r="E65" i="45"/>
  <c r="AK17" i="46"/>
  <c r="AL55" i="46"/>
  <c r="AL39" i="43"/>
  <c r="E55" i="43"/>
  <c r="E64" i="46"/>
  <c r="AK17" i="43"/>
  <c r="AK38" i="47"/>
  <c r="E13" i="43"/>
  <c r="AK16" i="43"/>
  <c r="E62" i="45"/>
  <c r="AK40" i="43"/>
  <c r="E20" i="43"/>
  <c r="AL19" i="46"/>
  <c r="E64" i="45"/>
  <c r="E45" i="43"/>
  <c r="AL9" i="45"/>
  <c r="E50" i="43"/>
  <c r="AK29" i="43"/>
  <c r="AL36" i="43"/>
  <c r="AK20" i="43"/>
  <c r="AK62" i="43"/>
  <c r="AL63" i="47"/>
  <c r="E32" i="46"/>
  <c r="E44" i="45"/>
  <c r="AK44" i="43"/>
  <c r="E48" i="47"/>
  <c r="AL40" i="47"/>
  <c r="AL27" i="43"/>
  <c r="E59" i="43"/>
  <c r="E33" i="46"/>
  <c r="E41" i="47"/>
  <c r="AK10" i="46"/>
  <c r="AL25" i="45"/>
  <c r="E54" i="43"/>
  <c r="AK53" i="47"/>
  <c r="AL56" i="45"/>
  <c r="E40" i="43"/>
  <c r="AK37" i="47"/>
  <c r="AK50" i="43"/>
  <c r="E57" i="47"/>
  <c r="AL13" i="47"/>
  <c r="E36" i="46"/>
  <c r="AL65" i="45"/>
  <c r="E54" i="46"/>
  <c r="AL59" i="46"/>
  <c r="E59" i="45"/>
  <c r="E23" i="45"/>
  <c r="E40" i="47"/>
  <c r="E46" i="43"/>
  <c r="AK40" i="47"/>
  <c r="AK37" i="46"/>
  <c r="AK44" i="47"/>
  <c r="E27" i="46"/>
  <c r="AL61" i="47"/>
  <c r="AL59" i="47"/>
  <c r="AL25" i="47"/>
  <c r="E18" i="47"/>
  <c r="AK23" i="47"/>
  <c r="E39" i="46"/>
  <c r="AK27" i="45"/>
  <c r="E18" i="43"/>
  <c r="AL23" i="43"/>
  <c r="AL40" i="45"/>
  <c r="E25" i="47"/>
  <c r="AK51" i="47"/>
  <c r="E32" i="47"/>
  <c r="AK33" i="43"/>
  <c r="E58" i="47"/>
  <c r="E57" i="45"/>
  <c r="AL44" i="45"/>
  <c r="AL62" i="46"/>
  <c r="AL28" i="47"/>
  <c r="AK15" i="45"/>
  <c r="AK33" i="45"/>
  <c r="AL9" i="46"/>
  <c r="AL54" i="46"/>
  <c r="AL29" i="47"/>
  <c r="E55" i="47"/>
  <c r="AL20" i="47"/>
  <c r="AK47" i="47"/>
  <c r="AL64" i="43"/>
  <c r="AL57" i="45"/>
  <c r="AL35" i="43"/>
  <c r="AL31" i="43"/>
  <c r="AK8" i="43"/>
  <c r="AL43" i="43"/>
  <c r="E37" i="47"/>
  <c r="E8" i="43"/>
  <c r="AL29" i="46"/>
  <c r="E46" i="46"/>
  <c r="AL26" i="43"/>
  <c r="AK47" i="46"/>
  <c r="E39" i="47"/>
  <c r="AL57" i="47"/>
  <c r="AL26" i="46"/>
  <c r="AL22" i="43"/>
  <c r="E22" i="43"/>
  <c r="AL11" i="43"/>
  <c r="AK58" i="45"/>
  <c r="E43" i="43"/>
  <c r="AK19" i="47"/>
  <c r="E21" i="47"/>
  <c r="E49" i="43"/>
  <c r="AK63" i="47"/>
  <c r="AK13" i="45"/>
  <c r="AL12" i="45"/>
  <c r="E16" i="43"/>
  <c r="E38" i="46"/>
  <c r="AL58" i="43"/>
  <c r="E23" i="43"/>
  <c r="AK9" i="47"/>
  <c r="AL27" i="45"/>
  <c r="AK17" i="45"/>
  <c r="E31" i="46"/>
  <c r="AL45" i="45"/>
  <c r="AL21" i="43"/>
  <c r="AK61" i="47"/>
  <c r="E10" i="43"/>
  <c r="AL15" i="43"/>
  <c r="AK36" i="45"/>
  <c r="E45" i="45"/>
  <c r="AL27" i="47"/>
  <c r="AK31" i="43"/>
  <c r="AK17" i="47"/>
  <c r="AK22" i="46"/>
  <c r="E50" i="46"/>
  <c r="AK64" i="47"/>
  <c r="AK41" i="46"/>
  <c r="E48" i="46"/>
  <c r="AK14" i="47"/>
  <c r="AK31" i="45"/>
  <c r="AL21" i="45"/>
  <c r="AL17" i="45"/>
  <c r="AL39" i="46"/>
  <c r="AK37" i="45"/>
  <c r="AL58" i="46"/>
  <c r="AK39" i="47"/>
  <c r="E56" i="45"/>
  <c r="AK34" i="47"/>
  <c r="E62" i="43"/>
  <c r="E23" i="47"/>
  <c r="AL21" i="46"/>
  <c r="AL40" i="43"/>
  <c r="AL13" i="45"/>
  <c r="AL33" i="47"/>
  <c r="AK25" i="45"/>
  <c r="AL47" i="46"/>
  <c r="AK64" i="46"/>
  <c r="AL29" i="43"/>
  <c r="AK59" i="43"/>
  <c r="AK34" i="46"/>
  <c r="AL10" i="43"/>
  <c r="AK48" i="43"/>
  <c r="AL18" i="46"/>
  <c r="AL53" i="45"/>
  <c r="E43" i="47"/>
  <c r="E43" i="46"/>
  <c r="E17" i="47"/>
  <c r="AK57" i="43"/>
  <c r="AK28" i="43"/>
  <c r="E45" i="46"/>
  <c r="AL54" i="45"/>
  <c r="AK38" i="46"/>
  <c r="AL52" i="45"/>
  <c r="E47" i="46"/>
  <c r="AK62" i="45"/>
  <c r="AL41" i="43"/>
  <c r="E28" i="46"/>
  <c r="AL65" i="46"/>
  <c r="E55" i="46"/>
  <c r="E57" i="46"/>
  <c r="AK29" i="46"/>
  <c r="AL34" i="47"/>
  <c r="AK18" i="43"/>
  <c r="AK18" i="46"/>
  <c r="AK36" i="43"/>
  <c r="AK36" i="47"/>
  <c r="E19" i="46"/>
  <c r="AK59" i="47"/>
  <c r="E63" i="45"/>
  <c r="AK36" i="46"/>
  <c r="E44" i="47"/>
  <c r="E42" i="43"/>
  <c r="AK43" i="47"/>
  <c r="AL18" i="45"/>
  <c r="AL52" i="43"/>
  <c r="AK47" i="43"/>
  <c r="AL41" i="46"/>
  <c r="AK34" i="45"/>
  <c r="AK52" i="45"/>
  <c r="AK30" i="45"/>
  <c r="E30" i="45"/>
  <c r="AL22" i="47"/>
  <c r="AK35" i="43"/>
  <c r="AK13" i="43"/>
  <c r="AL49" i="43"/>
  <c r="AK62" i="46"/>
  <c r="E60" i="47"/>
  <c r="E35" i="43"/>
  <c r="AL22" i="45"/>
  <c r="AK33" i="46"/>
  <c r="E42" i="46"/>
  <c r="E37" i="46"/>
  <c r="E24" i="45"/>
  <c r="E63" i="46"/>
  <c r="E20" i="46"/>
  <c r="AL17" i="46"/>
  <c r="E62" i="46"/>
  <c r="AL46" i="45"/>
  <c r="AK44" i="46"/>
  <c r="AL42" i="46"/>
  <c r="AL38" i="47"/>
  <c r="AL9" i="43"/>
  <c r="AK26" i="47"/>
  <c r="AK58" i="46"/>
  <c r="E27" i="43"/>
  <c r="E33" i="45"/>
  <c r="AK24" i="43"/>
  <c r="E18" i="46"/>
  <c r="AL10" i="46"/>
  <c r="AL51" i="45"/>
  <c r="E33" i="47"/>
  <c r="AL8" i="45"/>
  <c r="AK12" i="47"/>
  <c r="AL37" i="45"/>
  <c r="AK11" i="43"/>
  <c r="E63" i="43"/>
  <c r="AL44" i="43"/>
  <c r="AL47" i="47"/>
  <c r="AK49" i="47"/>
  <c r="AK26" i="45"/>
  <c r="E17" i="46"/>
  <c r="E24" i="43"/>
  <c r="AL13" i="43"/>
  <c r="AK63" i="45"/>
  <c r="AL39" i="47"/>
  <c r="E37" i="43"/>
  <c r="E44" i="43"/>
  <c r="AL16" i="43"/>
  <c r="AL13" i="46"/>
  <c r="AK33" i="47"/>
  <c r="AK46" i="46"/>
  <c r="E34" i="46"/>
  <c r="E49" i="47"/>
  <c r="E37" i="45"/>
  <c r="AK9" i="43"/>
  <c r="AL25" i="43"/>
  <c r="AL19" i="43"/>
  <c r="E20" i="45"/>
  <c r="AL58" i="45"/>
  <c r="AK46" i="43"/>
  <c r="E11" i="43"/>
  <c r="AL38" i="45"/>
  <c r="AK18" i="47"/>
  <c r="AK20" i="47"/>
  <c r="E50" i="45"/>
  <c r="AK53" i="45"/>
  <c r="E51" i="43"/>
  <c r="AK38" i="45"/>
  <c r="E51" i="47"/>
  <c r="AK26" i="46"/>
  <c r="E53" i="47"/>
  <c r="E52" i="45"/>
  <c r="AK45" i="46"/>
  <c r="E42" i="47"/>
  <c r="AL55" i="47"/>
  <c r="AK26" i="43"/>
  <c r="AK39" i="46"/>
  <c r="AL46" i="46"/>
  <c r="AL18" i="47"/>
  <c r="AL49" i="46"/>
  <c r="E30" i="47"/>
  <c r="E40" i="46"/>
  <c r="E53" i="43"/>
  <c r="AL57" i="43"/>
  <c r="AL44" i="47"/>
  <c r="AL56" i="47"/>
  <c r="AK53" i="43"/>
  <c r="AL59" i="45"/>
  <c r="AK30" i="43"/>
  <c r="E58" i="46"/>
  <c r="E15" i="45"/>
  <c r="AL53" i="43"/>
  <c r="E47" i="47"/>
  <c r="AK30" i="46"/>
  <c r="AK11" i="46"/>
  <c r="E22" i="47"/>
  <c r="E54" i="47"/>
  <c r="AK64" i="45"/>
  <c r="AK52" i="43"/>
  <c r="E58" i="43"/>
  <c r="AL35" i="45"/>
  <c r="AL19" i="47"/>
  <c r="AK39" i="43"/>
  <c r="E48" i="43"/>
  <c r="E36" i="45"/>
  <c r="AL64" i="46"/>
  <c r="AL60" i="46"/>
  <c r="AL33" i="46"/>
  <c r="E64" i="43"/>
  <c r="AK27" i="43"/>
  <c r="AL24" i="47"/>
  <c r="E9" i="43"/>
  <c r="AK57" i="45"/>
  <c r="AL28" i="43"/>
  <c r="AL55" i="43"/>
  <c r="AK52" i="47"/>
  <c r="E52" i="46"/>
  <c r="AK19" i="46"/>
  <c r="AL7" i="47"/>
  <c r="E56" i="47"/>
  <c r="AL8" i="47"/>
  <c r="AK25" i="43"/>
  <c r="AL17" i="47"/>
  <c r="AK14" i="43"/>
  <c r="AK54" i="47"/>
  <c r="AL51" i="47"/>
  <c r="AL34" i="43"/>
  <c r="AL51" i="43"/>
  <c r="AK57" i="47"/>
  <c r="E10" i="47"/>
  <c r="AL16" i="47"/>
  <c r="AL32" i="43"/>
  <c r="AK32" i="43"/>
  <c r="AK7" i="43"/>
  <c r="AL53" i="47"/>
  <c r="E32" i="45"/>
  <c r="AL50" i="43"/>
  <c r="E38" i="45"/>
  <c r="AK8" i="47"/>
  <c r="AL35" i="46"/>
  <c r="AL41" i="47"/>
  <c r="AK21" i="43"/>
  <c r="E31" i="47"/>
  <c r="AK56" i="46"/>
  <c r="AK23" i="45"/>
  <c r="E34" i="43"/>
  <c r="AL53" i="46"/>
  <c r="AL14" i="45"/>
  <c r="AL48" i="45"/>
  <c r="AK32" i="47"/>
  <c r="AL48" i="47"/>
  <c r="AL32" i="47"/>
  <c r="AK15" i="47"/>
  <c r="E65" i="46"/>
  <c r="E12" i="43"/>
  <c r="E30" i="43"/>
  <c r="AK64" i="43"/>
  <c r="AK31" i="47"/>
  <c r="E28" i="43"/>
  <c r="AL46" i="43"/>
  <c r="AL44" i="46"/>
  <c r="AL32" i="45"/>
  <c r="AK54" i="45"/>
  <c r="E47" i="45"/>
  <c r="E15" i="46"/>
  <c r="E28" i="45"/>
  <c r="AL23" i="47"/>
  <c r="AK14" i="45"/>
  <c r="E38" i="43"/>
  <c r="AL47" i="43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AG35" i="43"/>
  <c r="AH35" i="43"/>
  <c r="AM34" i="47"/>
  <c r="AG46" i="45"/>
  <c r="AH46" i="45"/>
  <c r="AH45" i="45"/>
  <c r="AG45" i="45"/>
  <c r="AM14" i="43"/>
  <c r="AH17" i="45"/>
  <c r="AG17" i="45"/>
  <c r="AH13" i="43"/>
  <c r="AG13" i="43"/>
  <c r="AG12" i="43"/>
  <c r="AH12" i="43"/>
  <c r="AM23" i="45"/>
  <c r="AM36" i="46"/>
  <c r="AG36" i="43"/>
  <c r="AH36" i="43"/>
  <c r="AH50" i="43"/>
  <c r="AG50" i="43"/>
  <c r="AH18" i="45"/>
  <c r="AG18" i="45"/>
  <c r="AM41" i="46"/>
  <c r="AG26" i="43"/>
  <c r="AH26" i="43"/>
  <c r="AM64" i="47"/>
  <c r="AH9" i="43"/>
  <c r="AG9" i="43"/>
  <c r="AM34" i="45"/>
  <c r="AM14" i="46"/>
  <c r="AG39" i="43"/>
  <c r="AH39" i="43"/>
  <c r="AM8" i="46"/>
  <c r="AM44" i="47"/>
  <c r="AM35" i="46"/>
  <c r="AM13" i="45"/>
  <c r="AG22" i="43"/>
  <c r="AH22" i="43"/>
  <c r="AM13" i="43"/>
  <c r="AH56" i="46"/>
  <c r="AG56" i="46"/>
  <c r="AH46" i="46"/>
  <c r="AG46" i="46"/>
  <c r="AM62" i="43"/>
  <c r="AG49" i="43"/>
  <c r="AH49" i="43"/>
  <c r="AG23" i="43"/>
  <c r="AH23" i="43"/>
  <c r="AG41" i="43"/>
  <c r="AH41" i="43"/>
  <c r="AG34" i="46"/>
  <c r="AH34" i="46"/>
  <c r="AM59" i="46"/>
  <c r="AG38" i="43"/>
  <c r="AH38" i="43"/>
  <c r="AG35" i="46"/>
  <c r="AH35" i="46"/>
  <c r="AM35" i="47"/>
  <c r="AH17" i="46"/>
  <c r="AG17" i="46"/>
  <c r="AM11" i="43"/>
  <c r="AM55" i="43"/>
  <c r="AG12" i="45"/>
  <c r="AH12" i="45"/>
  <c r="AM19" i="43"/>
  <c r="AH35" i="45"/>
  <c r="AG35" i="45"/>
  <c r="AG38" i="45"/>
  <c r="AH38" i="45"/>
  <c r="AM16" i="47"/>
  <c r="AM10" i="43"/>
  <c r="AH43" i="47"/>
  <c r="AG43" i="47"/>
  <c r="AG52" i="43"/>
  <c r="AH52" i="43"/>
  <c r="AM45" i="43"/>
  <c r="AM30" i="43"/>
  <c r="AM45" i="47"/>
  <c r="AM19" i="45"/>
  <c r="AM40" i="45"/>
  <c r="AM38" i="45"/>
  <c r="AG47" i="46"/>
  <c r="AH47" i="46"/>
  <c r="AH8" i="46"/>
  <c r="AG8" i="46"/>
  <c r="AM9" i="43"/>
  <c r="AM65" i="45"/>
  <c r="AM22" i="47"/>
  <c r="AM27" i="45"/>
  <c r="AH9" i="46"/>
  <c r="AG9" i="46"/>
  <c r="AM45" i="46"/>
  <c r="AH18" i="43"/>
  <c r="AG18" i="43"/>
  <c r="AH59" i="43"/>
  <c r="AG59" i="43"/>
  <c r="AG34" i="43"/>
  <c r="AH34" i="43"/>
  <c r="AH36" i="46"/>
  <c r="AG36" i="46"/>
  <c r="AM31" i="43"/>
  <c r="AH30" i="46"/>
  <c r="AG30" i="46"/>
  <c r="AH54" i="43"/>
  <c r="AG54" i="43"/>
  <c r="AM20" i="43"/>
  <c r="AM51" i="46"/>
  <c r="AM44" i="45"/>
  <c r="AM15" i="45"/>
  <c r="AM37" i="46"/>
  <c r="AG20" i="43"/>
  <c r="AH20" i="43"/>
  <c r="AM36" i="47"/>
  <c r="AM45" i="45"/>
  <c r="AG21" i="47"/>
  <c r="AH21" i="47"/>
  <c r="AM48" i="43"/>
  <c r="AG41" i="47"/>
  <c r="AH41" i="47"/>
  <c r="AM51" i="43"/>
  <c r="AH42" i="46"/>
  <c r="AG42" i="46"/>
  <c r="AM9" i="47"/>
  <c r="AG21" i="43"/>
  <c r="AH21" i="43"/>
  <c r="AG52" i="46"/>
  <c r="AH52" i="46"/>
  <c r="AM46" i="43"/>
  <c r="AH44" i="45"/>
  <c r="AG44" i="45"/>
  <c r="AM54" i="43"/>
  <c r="AH55" i="47"/>
  <c r="AG55" i="47"/>
  <c r="AG18" i="47"/>
  <c r="AH18" i="47"/>
  <c r="AH22" i="46"/>
  <c r="AG22" i="46"/>
  <c r="AH50" i="47"/>
  <c r="AG50" i="47"/>
  <c r="AH55" i="46"/>
  <c r="AG55" i="46"/>
  <c r="AM39" i="46"/>
  <c r="AG37" i="47"/>
  <c r="AH37" i="47"/>
  <c r="AH12" i="47"/>
  <c r="AG12" i="47"/>
  <c r="AH14" i="45"/>
  <c r="AG14" i="45"/>
  <c r="AM24" i="46"/>
  <c r="AM29" i="43"/>
  <c r="AG22" i="45"/>
  <c r="AH22" i="45"/>
  <c r="AH33" i="43"/>
  <c r="AG33" i="43"/>
  <c r="AH49" i="46"/>
  <c r="AG49" i="46"/>
  <c r="AG24" i="43"/>
  <c r="AH24" i="43"/>
  <c r="AH44" i="43"/>
  <c r="AG44" i="43"/>
  <c r="AM56" i="45"/>
  <c r="AG62" i="46"/>
  <c r="AH62" i="46"/>
  <c r="AG56" i="47"/>
  <c r="AH56" i="47"/>
  <c r="AH11" i="43"/>
  <c r="AG11" i="43"/>
  <c r="AM7" i="46"/>
  <c r="R10" i="43"/>
  <c r="O10" i="43"/>
  <c r="R13" i="43"/>
  <c r="S13" i="43" s="1"/>
  <c r="U9" i="43"/>
  <c r="V9" i="43" s="1"/>
  <c r="U12" i="43"/>
  <c r="U8" i="43"/>
  <c r="V8" i="43" s="1"/>
  <c r="U13" i="43"/>
  <c r="R8" i="43"/>
  <c r="O11" i="43"/>
  <c r="R12" i="43"/>
  <c r="O9" i="43"/>
  <c r="U11" i="43"/>
  <c r="V11" i="43" s="1"/>
  <c r="O16" i="43" a="1"/>
  <c r="O16" i="43" s="1"/>
  <c r="O8" i="43"/>
  <c r="U16" i="43" a="1"/>
  <c r="U16" i="43" s="1"/>
  <c r="U10" i="43"/>
  <c r="O12" i="43"/>
  <c r="R11" i="43"/>
  <c r="R16" i="43" a="1"/>
  <c r="R16" i="43" s="1"/>
  <c r="O13" i="43"/>
  <c r="R9" i="43"/>
  <c r="AM12" i="45"/>
  <c r="AG63" i="47"/>
  <c r="AH63" i="47"/>
  <c r="AG54" i="45"/>
  <c r="AH54" i="45"/>
  <c r="AG13" i="46"/>
  <c r="AH13" i="46"/>
  <c r="AM34" i="46"/>
  <c r="AM66" i="47"/>
  <c r="AM30" i="46"/>
  <c r="AH56" i="43"/>
  <c r="AG56" i="43"/>
  <c r="AM28" i="43"/>
  <c r="AM27" i="46"/>
  <c r="AM43" i="46"/>
  <c r="AM8" i="43"/>
  <c r="AH14" i="43"/>
  <c r="AG14" i="43"/>
  <c r="AM29" i="45"/>
  <c r="AH29" i="43"/>
  <c r="AG29" i="43"/>
  <c r="AM65" i="46"/>
  <c r="AM32" i="43"/>
  <c r="AM44" i="43"/>
  <c r="AM48" i="47"/>
  <c r="AH34" i="47"/>
  <c r="AG34" i="47"/>
  <c r="AM22" i="45"/>
  <c r="AM23" i="43"/>
  <c r="AG37" i="45"/>
  <c r="AH37" i="45"/>
  <c r="AH9" i="47"/>
  <c r="AG9" i="47"/>
  <c r="AM53" i="43"/>
  <c r="AM17" i="45"/>
  <c r="AG14" i="47"/>
  <c r="AH14" i="47"/>
  <c r="AH36" i="45"/>
  <c r="AG36" i="45"/>
  <c r="AG29" i="45"/>
  <c r="AH29" i="45"/>
  <c r="AH58" i="43"/>
  <c r="AG58" i="43"/>
  <c r="AG60" i="47"/>
  <c r="AH60" i="47"/>
  <c r="AH41" i="45"/>
  <c r="AG41" i="45"/>
  <c r="AG47" i="47"/>
  <c r="AH47" i="47"/>
  <c r="AM43" i="45"/>
  <c r="AG34" i="45"/>
  <c r="AH34" i="45"/>
  <c r="AH59" i="47"/>
  <c r="AG59" i="47"/>
  <c r="AH59" i="46"/>
  <c r="AG59" i="46"/>
  <c r="AM44" i="46"/>
  <c r="AM24" i="47"/>
  <c r="AM25" i="47"/>
  <c r="AM47" i="43"/>
  <c r="AM21" i="46"/>
  <c r="AG23" i="45"/>
  <c r="AH23" i="45"/>
  <c r="AM47" i="46"/>
  <c r="AH51" i="46"/>
  <c r="AG51" i="46"/>
  <c r="AG60" i="46"/>
  <c r="AH60" i="46"/>
  <c r="AG19" i="43"/>
  <c r="AH19" i="43"/>
  <c r="AH64" i="46"/>
  <c r="AG64" i="46"/>
  <c r="AM36" i="45"/>
  <c r="AM41" i="47"/>
  <c r="AM29" i="47"/>
  <c r="AH25" i="45"/>
  <c r="AG25" i="45"/>
  <c r="AG42" i="43"/>
  <c r="AH42" i="43"/>
  <c r="AH14" i="46"/>
  <c r="AG14" i="46"/>
  <c r="AM21" i="47"/>
  <c r="AH44" i="47"/>
  <c r="AG44" i="47"/>
  <c r="AH24" i="46"/>
  <c r="AG24" i="46"/>
  <c r="AH39" i="46"/>
  <c r="AG39" i="46"/>
  <c r="AG7" i="43"/>
  <c r="AH7" i="43"/>
  <c r="AM58" i="43"/>
  <c r="AG27" i="43"/>
  <c r="AH27" i="43"/>
  <c r="AH30" i="47"/>
  <c r="AG30" i="47"/>
  <c r="AH63" i="45"/>
  <c r="AG63" i="45"/>
  <c r="AG26" i="47"/>
  <c r="AH26" i="47"/>
  <c r="AM33" i="45"/>
  <c r="AG57" i="45"/>
  <c r="AH57" i="45"/>
  <c r="AG51" i="47"/>
  <c r="AH51" i="47"/>
  <c r="AH65" i="47"/>
  <c r="AG65" i="47"/>
  <c r="AM9" i="45"/>
  <c r="AG26" i="46"/>
  <c r="AH26" i="46"/>
  <c r="AM15" i="47"/>
  <c r="AM18" i="46"/>
  <c r="AM60" i="46"/>
  <c r="AG44" i="46"/>
  <c r="AH44" i="46"/>
  <c r="AG48" i="47"/>
  <c r="AH48" i="47"/>
  <c r="AM36" i="43"/>
  <c r="AM14" i="47"/>
  <c r="AG33" i="47"/>
  <c r="AH33" i="47"/>
  <c r="AH52" i="47"/>
  <c r="AG52" i="47"/>
  <c r="AM54" i="45"/>
  <c r="AG27" i="46"/>
  <c r="AH27" i="46"/>
  <c r="AM26" i="47"/>
  <c r="AM53" i="46"/>
  <c r="AG62" i="45"/>
  <c r="AH62" i="45"/>
  <c r="AM55" i="47"/>
  <c r="AM10" i="46"/>
  <c r="AM24" i="43"/>
  <c r="AH54" i="47"/>
  <c r="AG54" i="47"/>
  <c r="AG38" i="46"/>
  <c r="AH38" i="46"/>
  <c r="AG41" i="46"/>
  <c r="AH41" i="46"/>
  <c r="AM40" i="43"/>
  <c r="AM42" i="47"/>
  <c r="AM31" i="47"/>
  <c r="AG17" i="43"/>
  <c r="AH17" i="43"/>
  <c r="AM40" i="47"/>
  <c r="AH51" i="43"/>
  <c r="AG51" i="43"/>
  <c r="AM33" i="46"/>
  <c r="AG43" i="43"/>
  <c r="AH43" i="43"/>
  <c r="AM63" i="43"/>
  <c r="AM17" i="46"/>
  <c r="AH37" i="46"/>
  <c r="AG37" i="46"/>
  <c r="AH28" i="43"/>
  <c r="AG28" i="43"/>
  <c r="AH48" i="43"/>
  <c r="AG48" i="43"/>
  <c r="AH21" i="46"/>
  <c r="AG21" i="46"/>
  <c r="AM39" i="43"/>
  <c r="AH61" i="47"/>
  <c r="AG61" i="47"/>
  <c r="AM13" i="46"/>
  <c r="AM28" i="47"/>
  <c r="AH53" i="46"/>
  <c r="AG53" i="46"/>
  <c r="AG56" i="45"/>
  <c r="AH56" i="45"/>
  <c r="AM43" i="47"/>
  <c r="AG19" i="45"/>
  <c r="AH19" i="45"/>
  <c r="AM38" i="46"/>
  <c r="AM47" i="47"/>
  <c r="AH57" i="47"/>
  <c r="AG57" i="47"/>
  <c r="AM64" i="46"/>
  <c r="AG8" i="45"/>
  <c r="AH8" i="45"/>
  <c r="AG29" i="47"/>
  <c r="AH29" i="47"/>
  <c r="AM34" i="43"/>
  <c r="AH49" i="45"/>
  <c r="AG49" i="45"/>
  <c r="AM29" i="46"/>
  <c r="AM21" i="43"/>
  <c r="AH45" i="43"/>
  <c r="AG45" i="43"/>
  <c r="AM17" i="43"/>
  <c r="AG64" i="47"/>
  <c r="AH64" i="47"/>
  <c r="AH25" i="43"/>
  <c r="AG25" i="43"/>
  <c r="AM30" i="47"/>
  <c r="AM22" i="46"/>
  <c r="AG59" i="45"/>
  <c r="AH59" i="45"/>
  <c r="AM27" i="47"/>
  <c r="AM7" i="47"/>
  <c r="AG30" i="45"/>
  <c r="AH30" i="45"/>
  <c r="AG25" i="47"/>
  <c r="AH25" i="47"/>
  <c r="AM39" i="47"/>
  <c r="AM63" i="47"/>
  <c r="AM65" i="47"/>
  <c r="AM49" i="46"/>
  <c r="AM31" i="45"/>
  <c r="AM41" i="45"/>
  <c r="AM18" i="43"/>
  <c r="AM15" i="43"/>
  <c r="AM53" i="45"/>
  <c r="AM12" i="43"/>
  <c r="AM42" i="46"/>
  <c r="AG8" i="43"/>
  <c r="AH8" i="43"/>
  <c r="AM58" i="45"/>
  <c r="AM49" i="47"/>
  <c r="AG29" i="46"/>
  <c r="AH29" i="46"/>
  <c r="AH47" i="43"/>
  <c r="AG47" i="43"/>
  <c r="AH32" i="47"/>
  <c r="AG32" i="47"/>
  <c r="AH20" i="47"/>
  <c r="AG20" i="47"/>
  <c r="AM33" i="47"/>
  <c r="AM57" i="43"/>
  <c r="AM37" i="45"/>
  <c r="AM30" i="45"/>
  <c r="AM26" i="46"/>
  <c r="AM33" i="43"/>
  <c r="AH19" i="47"/>
  <c r="AG19" i="47"/>
  <c r="AH32" i="43"/>
  <c r="AG32" i="43"/>
  <c r="AM18" i="45"/>
  <c r="AG23" i="47"/>
  <c r="AH23" i="47"/>
  <c r="AM46" i="45"/>
  <c r="AG31" i="43"/>
  <c r="AH31" i="43"/>
  <c r="AM26" i="45"/>
  <c r="AH10" i="46"/>
  <c r="AG10" i="46"/>
  <c r="AG15" i="43"/>
  <c r="AH15" i="43"/>
  <c r="AH16" i="43"/>
  <c r="AG16" i="43"/>
  <c r="AG39" i="47"/>
  <c r="AH39" i="47"/>
  <c r="AM8" i="45"/>
  <c r="AM46" i="46"/>
  <c r="AM32" i="47"/>
  <c r="AM56" i="46"/>
  <c r="AM64" i="45"/>
  <c r="AM51" i="45"/>
  <c r="AM35" i="43"/>
  <c r="AM50" i="47"/>
  <c r="AH40" i="43"/>
  <c r="AG40" i="43"/>
  <c r="O13" i="47"/>
  <c r="O12" i="47"/>
  <c r="R9" i="47"/>
  <c r="R8" i="47"/>
  <c r="U10" i="47"/>
  <c r="O9" i="47"/>
  <c r="U12" i="47"/>
  <c r="O10" i="47"/>
  <c r="U11" i="47"/>
  <c r="V11" i="47" s="1"/>
  <c r="U16" i="47" a="1"/>
  <c r="U16" i="47" s="1"/>
  <c r="O11" i="47"/>
  <c r="R10" i="47"/>
  <c r="R11" i="47"/>
  <c r="R12" i="47"/>
  <c r="U9" i="47"/>
  <c r="V9" i="47" s="1"/>
  <c r="U8" i="47"/>
  <c r="V8" i="47" s="1"/>
  <c r="U13" i="47"/>
  <c r="O16" i="47" a="1"/>
  <c r="O16" i="47" s="1"/>
  <c r="O8" i="47"/>
  <c r="R13" i="47"/>
  <c r="S13" i="47" s="1"/>
  <c r="R16" i="47" a="1"/>
  <c r="R16" i="47" s="1"/>
  <c r="AM55" i="46"/>
  <c r="AG33" i="46"/>
  <c r="AH33" i="46"/>
  <c r="AG46" i="43"/>
  <c r="AH46" i="43"/>
  <c r="AM25" i="45"/>
  <c r="AG21" i="45"/>
  <c r="AH21" i="45"/>
  <c r="AM49" i="45"/>
  <c r="AM63" i="45"/>
  <c r="AG24" i="47"/>
  <c r="AH24" i="47"/>
  <c r="AM57" i="47"/>
  <c r="AG63" i="46"/>
  <c r="AH63" i="46"/>
  <c r="AM64" i="43"/>
  <c r="AM13" i="47"/>
  <c r="AM12" i="46"/>
  <c r="AH8" i="47"/>
  <c r="AG8" i="47"/>
  <c r="AM53" i="47"/>
  <c r="AG31" i="47"/>
  <c r="AH31" i="47"/>
  <c r="AG64" i="45"/>
  <c r="AH64" i="45"/>
  <c r="AM52" i="43"/>
  <c r="AH26" i="45"/>
  <c r="AG26" i="45"/>
  <c r="AM22" i="43"/>
  <c r="AM59" i="43"/>
  <c r="AH40" i="47"/>
  <c r="AG40" i="47"/>
  <c r="AM49" i="43"/>
  <c r="AG15" i="46"/>
  <c r="AH15" i="46"/>
  <c r="AG36" i="47"/>
  <c r="AH36" i="47"/>
  <c r="AH9" i="45"/>
  <c r="AG9" i="45"/>
  <c r="AM56" i="43"/>
  <c r="AM38" i="47"/>
  <c r="AM27" i="43"/>
  <c r="AG15" i="45"/>
  <c r="AH15" i="45"/>
  <c r="AM41" i="43"/>
  <c r="AG11" i="46"/>
  <c r="AH11" i="46"/>
  <c r="AG27" i="45"/>
  <c r="AH27" i="45"/>
  <c r="AH35" i="47"/>
  <c r="AG35" i="47"/>
  <c r="AH53" i="47"/>
  <c r="AG53" i="47"/>
  <c r="AM52" i="47"/>
  <c r="AM19" i="46"/>
  <c r="AG54" i="46"/>
  <c r="AH54" i="46"/>
  <c r="AM62" i="46"/>
  <c r="AH15" i="47"/>
  <c r="AG15" i="47"/>
  <c r="AH51" i="45"/>
  <c r="AG51" i="45"/>
  <c r="AM59" i="45"/>
  <c r="AH58" i="46"/>
  <c r="AG58" i="46"/>
  <c r="AM51" i="47"/>
  <c r="AM52" i="45"/>
  <c r="AM37" i="47"/>
  <c r="AM37" i="43"/>
  <c r="AG13" i="47"/>
  <c r="AH13" i="47"/>
  <c r="AG42" i="47"/>
  <c r="AH42" i="47"/>
  <c r="AG12" i="46"/>
  <c r="AH12" i="46"/>
  <c r="AG40" i="45"/>
  <c r="AH40" i="45"/>
  <c r="AM38" i="43"/>
  <c r="AM8" i="47"/>
  <c r="AM32" i="45"/>
  <c r="AG16" i="47"/>
  <c r="AH16" i="47"/>
  <c r="AM23" i="47"/>
  <c r="AM60" i="47"/>
  <c r="AM21" i="45"/>
  <c r="AM58" i="46"/>
  <c r="AH62" i="43"/>
  <c r="AG62" i="43"/>
  <c r="AG53" i="43"/>
  <c r="AH53" i="43"/>
  <c r="AH10" i="43"/>
  <c r="AG10" i="43"/>
  <c r="AM61" i="47"/>
  <c r="AM9" i="46"/>
  <c r="AM35" i="45"/>
  <c r="AG63" i="43"/>
  <c r="AH63" i="43"/>
  <c r="AH43" i="46"/>
  <c r="AG43" i="46"/>
  <c r="AM7" i="43"/>
  <c r="AH53" i="45"/>
  <c r="AG53" i="45"/>
  <c r="AH38" i="47"/>
  <c r="AG38" i="47"/>
  <c r="AM16" i="43"/>
  <c r="AH18" i="46"/>
  <c r="AG18" i="46"/>
  <c r="AM42" i="43"/>
  <c r="AG57" i="43"/>
  <c r="AH57" i="43"/>
  <c r="AM43" i="43"/>
  <c r="AG52" i="45"/>
  <c r="AH52" i="45"/>
  <c r="AH7" i="47"/>
  <c r="AG7" i="47"/>
  <c r="AG27" i="47"/>
  <c r="AH27" i="47"/>
  <c r="AM20" i="47"/>
  <c r="AM63" i="46"/>
  <c r="AH45" i="47"/>
  <c r="AG45" i="47"/>
  <c r="AG49" i="47"/>
  <c r="AH49" i="47"/>
  <c r="AG33" i="45"/>
  <c r="AH33" i="45"/>
  <c r="AG22" i="47"/>
  <c r="AH22" i="47"/>
  <c r="AM54" i="46"/>
  <c r="AG31" i="45"/>
  <c r="AH31" i="45"/>
  <c r="AG58" i="45"/>
  <c r="AH58" i="45"/>
  <c r="AH28" i="47"/>
  <c r="AG28" i="47"/>
  <c r="AH7" i="46"/>
  <c r="AG7" i="46"/>
  <c r="AM18" i="47"/>
  <c r="AH13" i="45"/>
  <c r="AG13" i="45"/>
  <c r="AM12" i="47"/>
  <c r="AM54" i="47"/>
  <c r="AM59" i="47"/>
  <c r="R10" i="45"/>
  <c r="R11" i="45"/>
  <c r="U9" i="45"/>
  <c r="V9" i="45" s="1"/>
  <c r="O11" i="45"/>
  <c r="U16" i="45" a="1"/>
  <c r="U16" i="45" s="1"/>
  <c r="O16" i="45" a="1"/>
  <c r="O16" i="45" s="1"/>
  <c r="O13" i="45"/>
  <c r="U11" i="45"/>
  <c r="V11" i="45" s="1"/>
  <c r="R9" i="45"/>
  <c r="U10" i="45"/>
  <c r="R12" i="45"/>
  <c r="U13" i="45"/>
  <c r="O9" i="45"/>
  <c r="U12" i="45"/>
  <c r="R13" i="45"/>
  <c r="S13" i="45" s="1"/>
  <c r="R8" i="45"/>
  <c r="O8" i="45"/>
  <c r="O10" i="45"/>
  <c r="R16" i="45" a="1"/>
  <c r="R16" i="45" s="1"/>
  <c r="U8" i="45"/>
  <c r="V8" i="45" s="1"/>
  <c r="O12" i="45"/>
  <c r="AG32" i="45"/>
  <c r="AH32" i="45"/>
  <c r="AM48" i="45"/>
  <c r="AM56" i="47"/>
  <c r="AM62" i="45"/>
  <c r="AH43" i="45"/>
  <c r="AG43" i="45"/>
  <c r="AG37" i="43"/>
  <c r="AH37" i="43"/>
  <c r="AH55" i="43"/>
  <c r="AG55" i="43"/>
  <c r="AM15" i="46"/>
  <c r="AH45" i="46"/>
  <c r="AG45" i="46"/>
  <c r="AM52" i="46"/>
  <c r="AM19" i="47"/>
  <c r="U16" i="46" a="1"/>
  <c r="U16" i="46" s="1"/>
  <c r="U9" i="46"/>
  <c r="V9" i="46" s="1"/>
  <c r="U12" i="46"/>
  <c r="O11" i="46"/>
  <c r="U10" i="46"/>
  <c r="R12" i="46"/>
  <c r="R13" i="46"/>
  <c r="S13" i="46" s="1"/>
  <c r="O8" i="46"/>
  <c r="O9" i="46"/>
  <c r="O12" i="46"/>
  <c r="O16" i="46" a="1"/>
  <c r="O16" i="46" s="1"/>
  <c r="U11" i="46"/>
  <c r="V11" i="46" s="1"/>
  <c r="O13" i="46"/>
  <c r="R11" i="46"/>
  <c r="R9" i="46"/>
  <c r="R8" i="46"/>
  <c r="R10" i="46"/>
  <c r="U13" i="46"/>
  <c r="V13" i="46" s="1"/>
  <c r="U8" i="46"/>
  <c r="V8" i="46" s="1"/>
  <c r="R16" i="46" a="1"/>
  <c r="R16" i="46" s="1"/>
  <c r="O10" i="46"/>
  <c r="AG48" i="45"/>
  <c r="AH48" i="45"/>
  <c r="AG19" i="46"/>
  <c r="AH19" i="46"/>
  <c r="AM11" i="46"/>
  <c r="AM57" i="45"/>
  <c r="AM50" i="43"/>
  <c r="AH30" i="43"/>
  <c r="AG30" i="43"/>
  <c r="AM17" i="47"/>
  <c r="AM25" i="43"/>
  <c r="AM14" i="45"/>
  <c r="AH17" i="47"/>
  <c r="AG17" i="47"/>
  <c r="AM26" i="43"/>
  <c r="S8" i="49"/>
  <c r="P8" i="49"/>
  <c r="P12" i="49"/>
  <c r="O5" i="49"/>
  <c r="P9" i="49"/>
  <c r="P14" i="49"/>
  <c r="S11" i="49"/>
  <c r="S14" i="49"/>
  <c r="S10" i="49"/>
  <c r="S9" i="49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A11" i="46" l="1"/>
  <c r="AA10" i="47"/>
  <c r="AA10" i="45"/>
  <c r="AA10" i="46"/>
  <c r="AA12" i="46"/>
  <c r="AA13" i="47"/>
  <c r="AA12" i="43"/>
  <c r="AA14" i="49"/>
  <c r="V10" i="49"/>
  <c r="V14" i="49"/>
  <c r="U5" i="49"/>
  <c r="AA12" i="47"/>
  <c r="AA12" i="45"/>
  <c r="AA9" i="47"/>
  <c r="R5" i="49"/>
  <c r="AA8" i="47"/>
  <c r="AA13" i="45"/>
  <c r="O14" i="46"/>
  <c r="P8" i="46" s="1"/>
  <c r="AA9" i="45"/>
  <c r="AA13" i="43"/>
  <c r="P13" i="49"/>
  <c r="P10" i="49"/>
  <c r="R14" i="46"/>
  <c r="S12" i="46" s="1"/>
  <c r="AA8" i="45"/>
  <c r="O14" i="45"/>
  <c r="O5" i="45" s="1"/>
  <c r="O14" i="47"/>
  <c r="P13" i="47" s="1"/>
  <c r="AA11" i="47"/>
  <c r="R14" i="47"/>
  <c r="R5" i="47" s="1"/>
  <c r="AA10" i="43"/>
  <c r="AA8" i="43"/>
  <c r="O14" i="43"/>
  <c r="P13" i="43" s="1"/>
  <c r="AA13" i="46"/>
  <c r="U14" i="45"/>
  <c r="V10" i="45" s="1"/>
  <c r="R14" i="45"/>
  <c r="S10" i="45" s="1"/>
  <c r="U14" i="46"/>
  <c r="V12" i="46" s="1"/>
  <c r="AA11" i="45"/>
  <c r="AA9" i="46"/>
  <c r="R14" i="43"/>
  <c r="R5" i="43" s="1"/>
  <c r="AA11" i="43"/>
  <c r="AA9" i="43"/>
  <c r="U14" i="43"/>
  <c r="V12" i="43" s="1"/>
  <c r="AA8" i="46"/>
  <c r="U14" i="47"/>
  <c r="V10" i="47" s="1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S14" i="47" l="1"/>
  <c r="V10" i="46"/>
  <c r="S9" i="47"/>
  <c r="S10" i="47"/>
  <c r="S12" i="47"/>
  <c r="S11" i="47"/>
  <c r="S8" i="47"/>
  <c r="S8" i="46"/>
  <c r="P12" i="43"/>
  <c r="O5" i="43"/>
  <c r="P12" i="47"/>
  <c r="S10" i="43"/>
  <c r="P12" i="46"/>
  <c r="S12" i="45"/>
  <c r="P12" i="45"/>
  <c r="S8" i="43"/>
  <c r="V14" i="43"/>
  <c r="P10" i="43"/>
  <c r="S11" i="46"/>
  <c r="S14" i="46"/>
  <c r="V13" i="43"/>
  <c r="P9" i="43"/>
  <c r="AA14" i="47"/>
  <c r="U5" i="43"/>
  <c r="V10" i="43"/>
  <c r="R5" i="45"/>
  <c r="S14" i="45"/>
  <c r="S8" i="45"/>
  <c r="P14" i="45"/>
  <c r="S11" i="43"/>
  <c r="S12" i="43"/>
  <c r="S11" i="45"/>
  <c r="S9" i="45"/>
  <c r="P9" i="47"/>
  <c r="P11" i="46"/>
  <c r="P14" i="47"/>
  <c r="AA14" i="43"/>
  <c r="P9" i="46"/>
  <c r="V12" i="45"/>
  <c r="O5" i="47"/>
  <c r="P10" i="46"/>
  <c r="P8" i="47"/>
  <c r="P13" i="45"/>
  <c r="AA14" i="46"/>
  <c r="P11" i="45"/>
  <c r="P10" i="45"/>
  <c r="O5" i="46"/>
  <c r="P14" i="46"/>
  <c r="P10" i="47"/>
  <c r="P13" i="46"/>
  <c r="P11" i="47"/>
  <c r="AA14" i="45"/>
  <c r="U5" i="45"/>
  <c r="P11" i="43"/>
  <c r="S9" i="46"/>
  <c r="P8" i="43"/>
  <c r="S10" i="46"/>
  <c r="P8" i="45"/>
  <c r="U5" i="46"/>
  <c r="V14" i="46"/>
  <c r="R5" i="46"/>
  <c r="P14" i="43"/>
  <c r="P9" i="45"/>
  <c r="V12" i="47"/>
  <c r="V14" i="47"/>
  <c r="U5" i="47"/>
  <c r="V13" i="47"/>
  <c r="S9" i="43"/>
  <c r="S14" i="43"/>
  <c r="V13" i="45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BC38" i="56" l="1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AJ32" i="40"/>
  <c r="AJ23" i="40"/>
  <c r="AJ27" i="40"/>
  <c r="AJ61" i="40"/>
  <c r="AJ40" i="40"/>
  <c r="AJ16" i="40"/>
  <c r="AJ31" i="40"/>
  <c r="AJ28" i="40"/>
  <c r="AJ20" i="40"/>
  <c r="AJ15" i="40"/>
  <c r="AJ19" i="40"/>
  <c r="AJ14" i="40"/>
  <c r="AJ11" i="40"/>
  <c r="G14" i="40"/>
  <c r="AJ35" i="40"/>
  <c r="AJ36" i="40"/>
  <c r="AJ39" i="40"/>
  <c r="AJ24" i="40"/>
  <c r="AK2" i="40" l="1"/>
  <c r="AL4" i="40"/>
  <c r="AL2" i="40" s="1"/>
  <c r="AL61" i="40"/>
  <c r="AK61" i="40"/>
  <c r="L14" i="40"/>
  <c r="M10" i="40" s="1"/>
  <c r="G49" i="40"/>
  <c r="AL36" i="40"/>
  <c r="G19" i="40"/>
  <c r="AJ50" i="40"/>
  <c r="AJ59" i="40"/>
  <c r="G7" i="40"/>
  <c r="G53" i="40"/>
  <c r="AJ13" i="40"/>
  <c r="AJ41" i="40"/>
  <c r="G35" i="40"/>
  <c r="AJ62" i="40"/>
  <c r="AJ58" i="40"/>
  <c r="AJ64" i="40"/>
  <c r="E14" i="40"/>
  <c r="G45" i="40"/>
  <c r="G29" i="40"/>
  <c r="AJ49" i="40"/>
  <c r="G52" i="40"/>
  <c r="AJ63" i="40"/>
  <c r="G54" i="40"/>
  <c r="G58" i="40"/>
  <c r="AL31" i="40"/>
  <c r="AL35" i="40"/>
  <c r="AJ25" i="40"/>
  <c r="AJ8" i="40"/>
  <c r="AJ30" i="40"/>
  <c r="AJ52" i="40"/>
  <c r="AJ44" i="40"/>
  <c r="G26" i="40"/>
  <c r="G20" i="40"/>
  <c r="G51" i="40"/>
  <c r="G47" i="40"/>
  <c r="AJ22" i="40"/>
  <c r="AJ43" i="40"/>
  <c r="AJ47" i="40"/>
  <c r="AJ60" i="40"/>
  <c r="AJ7" i="40"/>
  <c r="G11" i="40"/>
  <c r="AJ67" i="40"/>
  <c r="G8" i="40"/>
  <c r="AL40" i="40"/>
  <c r="AJ38" i="40"/>
  <c r="G46" i="40"/>
  <c r="G34" i="40"/>
  <c r="G27" i="40"/>
  <c r="G23" i="40"/>
  <c r="AJ21" i="40"/>
  <c r="AL11" i="40"/>
  <c r="G37" i="40"/>
  <c r="G55" i="40"/>
  <c r="G33" i="40"/>
  <c r="G64" i="40"/>
  <c r="AK16" i="40"/>
  <c r="G32" i="40"/>
  <c r="AL16" i="40"/>
  <c r="G21" i="40"/>
  <c r="G28" i="40"/>
  <c r="AK11" i="40"/>
  <c r="AJ66" i="40"/>
  <c r="AK32" i="40"/>
  <c r="AJ34" i="40"/>
  <c r="G62" i="40"/>
  <c r="AJ54" i="40"/>
  <c r="AJ65" i="40"/>
  <c r="AJ57" i="40"/>
  <c r="AJ37" i="40"/>
  <c r="G13" i="40"/>
  <c r="AJ29" i="40"/>
  <c r="G31" i="40"/>
  <c r="G22" i="40"/>
  <c r="G39" i="40"/>
  <c r="G50" i="40"/>
  <c r="G25" i="40"/>
  <c r="AJ10" i="40"/>
  <c r="G36" i="40"/>
  <c r="AJ42" i="40"/>
  <c r="G18" i="40"/>
  <c r="G43" i="40"/>
  <c r="G9" i="40"/>
  <c r="G10" i="40"/>
  <c r="G12" i="40"/>
  <c r="AJ46" i="40"/>
  <c r="AK20" i="40"/>
  <c r="AJ33" i="40"/>
  <c r="AK36" i="40"/>
  <c r="G17" i="40"/>
  <c r="G48" i="40"/>
  <c r="AJ17" i="40"/>
  <c r="G63" i="40"/>
  <c r="G15" i="40"/>
  <c r="G30" i="40"/>
  <c r="AL15" i="40"/>
  <c r="AJ45" i="40"/>
  <c r="AJ12" i="40"/>
  <c r="G65" i="40"/>
  <c r="AJ53" i="40"/>
  <c r="AJ26" i="40"/>
  <c r="G16" i="40"/>
  <c r="G59" i="40"/>
  <c r="G57" i="40"/>
  <c r="AJ55" i="40"/>
  <c r="G41" i="40"/>
  <c r="AJ56" i="40"/>
  <c r="G38" i="40"/>
  <c r="AJ18" i="40"/>
  <c r="G56" i="40"/>
  <c r="G24" i="40"/>
  <c r="G44" i="40"/>
  <c r="AJ48" i="40"/>
  <c r="AJ9" i="40"/>
  <c r="G42" i="40"/>
  <c r="AJ51" i="40"/>
  <c r="G40" i="40"/>
  <c r="AG61" i="40" l="1"/>
  <c r="AH61" i="40"/>
  <c r="AH11" i="40"/>
  <c r="AH35" i="40"/>
  <c r="AH36" i="40"/>
  <c r="AH16" i="40"/>
  <c r="AH15" i="40"/>
  <c r="AH31" i="40"/>
  <c r="AH40" i="40"/>
  <c r="AG11" i="40"/>
  <c r="AG35" i="40"/>
  <c r="AG36" i="40"/>
  <c r="AG16" i="40"/>
  <c r="AG15" i="40"/>
  <c r="AG31" i="40"/>
  <c r="AG40" i="40"/>
  <c r="AL60" i="40"/>
  <c r="AL66" i="40"/>
  <c r="AL67" i="40"/>
  <c r="AK60" i="40"/>
  <c r="AK66" i="40"/>
  <c r="AK67" i="40"/>
  <c r="AM61" i="40"/>
  <c r="M13" i="40"/>
  <c r="M9" i="40"/>
  <c r="AM20" i="40"/>
  <c r="AM32" i="40"/>
  <c r="AM11" i="40"/>
  <c r="AM36" i="40"/>
  <c r="AM16" i="40"/>
  <c r="M14" i="40"/>
  <c r="C79" i="40"/>
  <c r="Y14" i="40"/>
  <c r="L5" i="40"/>
  <c r="M12" i="40"/>
  <c r="M11" i="40"/>
  <c r="M8" i="40"/>
  <c r="E13" i="40"/>
  <c r="AK10" i="40"/>
  <c r="AK57" i="40"/>
  <c r="AL46" i="40"/>
  <c r="AL14" i="40"/>
  <c r="E22" i="40"/>
  <c r="AL13" i="40"/>
  <c r="AK38" i="40"/>
  <c r="E36" i="40"/>
  <c r="AL19" i="40"/>
  <c r="AK40" i="40"/>
  <c r="AL47" i="40"/>
  <c r="E17" i="40"/>
  <c r="AK12" i="40"/>
  <c r="E18" i="40"/>
  <c r="E35" i="40"/>
  <c r="E53" i="40"/>
  <c r="AL42" i="40"/>
  <c r="AL26" i="40"/>
  <c r="AK52" i="40"/>
  <c r="AL37" i="40"/>
  <c r="AL51" i="40"/>
  <c r="AK37" i="40"/>
  <c r="E54" i="40"/>
  <c r="E65" i="40"/>
  <c r="AL8" i="40"/>
  <c r="AL20" i="40"/>
  <c r="AK44" i="40"/>
  <c r="AK49" i="40"/>
  <c r="AK64" i="40"/>
  <c r="E11" i="40"/>
  <c r="E63" i="40"/>
  <c r="AK53" i="40"/>
  <c r="E8" i="40"/>
  <c r="AK54" i="40"/>
  <c r="E45" i="40"/>
  <c r="E39" i="40"/>
  <c r="AK28" i="40"/>
  <c r="AL34" i="40"/>
  <c r="AL33" i="40"/>
  <c r="E51" i="40"/>
  <c r="AL39" i="40"/>
  <c r="AK59" i="40"/>
  <c r="E48" i="40"/>
  <c r="AK55" i="40"/>
  <c r="AK9" i="40"/>
  <c r="AK47" i="40"/>
  <c r="AK51" i="40"/>
  <c r="AL53" i="40"/>
  <c r="E21" i="40"/>
  <c r="AL55" i="40"/>
  <c r="AK42" i="40"/>
  <c r="E52" i="40"/>
  <c r="E56" i="40"/>
  <c r="AK30" i="40"/>
  <c r="AL49" i="40"/>
  <c r="E46" i="40"/>
  <c r="AK22" i="40"/>
  <c r="AL7" i="40"/>
  <c r="E23" i="40"/>
  <c r="AL9" i="40"/>
  <c r="AK21" i="40"/>
  <c r="E28" i="40"/>
  <c r="AK14" i="40"/>
  <c r="AL57" i="40"/>
  <c r="AK34" i="40"/>
  <c r="AL65" i="40"/>
  <c r="E50" i="40"/>
  <c r="AL17" i="40"/>
  <c r="E44" i="40"/>
  <c r="E26" i="40"/>
  <c r="AK24" i="40"/>
  <c r="AK56" i="40"/>
  <c r="AL41" i="40"/>
  <c r="E24" i="40"/>
  <c r="E34" i="40"/>
  <c r="E25" i="40"/>
  <c r="AL30" i="40"/>
  <c r="AL27" i="40"/>
  <c r="E43" i="40"/>
  <c r="AK39" i="40"/>
  <c r="E58" i="40"/>
  <c r="AL62" i="40"/>
  <c r="AK63" i="40"/>
  <c r="AL63" i="40"/>
  <c r="E49" i="40"/>
  <c r="AK58" i="40"/>
  <c r="AL25" i="40"/>
  <c r="AK31" i="40"/>
  <c r="AL48" i="40"/>
  <c r="AK35" i="40"/>
  <c r="AL18" i="40"/>
  <c r="AK62" i="40"/>
  <c r="E64" i="40"/>
  <c r="AK41" i="40"/>
  <c r="E62" i="40"/>
  <c r="E42" i="40"/>
  <c r="AL43" i="40"/>
  <c r="AK29" i="40"/>
  <c r="AK26" i="40"/>
  <c r="AL45" i="40"/>
  <c r="AK27" i="40"/>
  <c r="E31" i="40"/>
  <c r="AK25" i="40"/>
  <c r="E10" i="40"/>
  <c r="E57" i="40"/>
  <c r="AL32" i="40"/>
  <c r="E40" i="40"/>
  <c r="AK19" i="40"/>
  <c r="AL56" i="40"/>
  <c r="AL58" i="40"/>
  <c r="AL54" i="40"/>
  <c r="E19" i="40"/>
  <c r="AL64" i="40"/>
  <c r="E12" i="40"/>
  <c r="AL23" i="40"/>
  <c r="E16" i="40"/>
  <c r="AK50" i="40"/>
  <c r="E9" i="40"/>
  <c r="AK46" i="40"/>
  <c r="AK48" i="40"/>
  <c r="AK23" i="40"/>
  <c r="AK45" i="40"/>
  <c r="E37" i="40"/>
  <c r="E41" i="40"/>
  <c r="AL24" i="40"/>
  <c r="AK65" i="40"/>
  <c r="E47" i="40"/>
  <c r="AK17" i="40"/>
  <c r="AK15" i="40"/>
  <c r="AL52" i="40"/>
  <c r="E15" i="40"/>
  <c r="AL22" i="40"/>
  <c r="E32" i="40"/>
  <c r="AL38" i="40"/>
  <c r="E38" i="40"/>
  <c r="AL12" i="40"/>
  <c r="E7" i="40"/>
  <c r="E20" i="40"/>
  <c r="E29" i="40"/>
  <c r="AL44" i="40"/>
  <c r="AL10" i="40"/>
  <c r="AL59" i="40"/>
  <c r="E27" i="40"/>
  <c r="AL29" i="40"/>
  <c r="AL21" i="40"/>
  <c r="AK13" i="40"/>
  <c r="E30" i="40"/>
  <c r="AK43" i="40"/>
  <c r="AK18" i="40"/>
  <c r="AK8" i="40"/>
  <c r="AK7" i="40"/>
  <c r="AL28" i="40"/>
  <c r="AK33" i="40"/>
  <c r="E59" i="40"/>
  <c r="E33" i="40"/>
  <c r="AL50" i="40"/>
  <c r="E55" i="40"/>
  <c r="AM39" i="40" l="1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21" i="7"/>
  <c r="AL11" i="7"/>
  <c r="AL3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5" i="34"/>
  <c r="G57" i="34"/>
  <c r="G63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7" i="34"/>
  <c r="G43" i="34"/>
  <c r="G51" i="34"/>
  <c r="G8" i="34"/>
  <c r="G52" i="34"/>
  <c r="G36" i="34"/>
  <c r="G42" i="34"/>
  <c r="E63" i="34"/>
  <c r="G15" i="34"/>
  <c r="G34" i="34"/>
  <c r="G62" i="34"/>
  <c r="G24" i="34"/>
  <c r="G50" i="34"/>
  <c r="G29" i="34"/>
  <c r="G19" i="34"/>
  <c r="G28" i="34"/>
  <c r="G10" i="34"/>
  <c r="G18" i="34"/>
  <c r="G16" i="34"/>
  <c r="G58" i="34"/>
  <c r="G54" i="34"/>
  <c r="G12" i="34"/>
  <c r="G38" i="34"/>
  <c r="G45" i="34"/>
  <c r="G64" i="34"/>
  <c r="E55" i="34"/>
  <c r="G13" i="34"/>
  <c r="G11" i="34"/>
  <c r="G25" i="34"/>
  <c r="G49" i="34"/>
  <c r="G32" i="34"/>
  <c r="G44" i="34"/>
  <c r="G22" i="34"/>
  <c r="G14" i="34"/>
  <c r="G40" i="34"/>
  <c r="G27" i="34"/>
  <c r="G56" i="34"/>
  <c r="G23" i="34"/>
  <c r="G41" i="34"/>
  <c r="G65" i="34"/>
  <c r="G48" i="34"/>
  <c r="G20" i="34"/>
  <c r="G35" i="34"/>
  <c r="G37" i="34"/>
  <c r="G26" i="34"/>
  <c r="G53" i="34"/>
  <c r="G46" i="34"/>
  <c r="G31" i="34"/>
  <c r="G21" i="34"/>
  <c r="E57" i="34"/>
  <c r="G59" i="34"/>
  <c r="G33" i="34"/>
  <c r="G30" i="34"/>
  <c r="G39" i="34"/>
  <c r="G47" i="34"/>
  <c r="G9" i="34"/>
  <c r="G1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1" i="34"/>
  <c r="E45" i="34"/>
  <c r="E51" i="34"/>
  <c r="E64" i="34"/>
  <c r="E44" i="34"/>
  <c r="E30" i="34"/>
  <c r="E20" i="34"/>
  <c r="E25" i="34"/>
  <c r="E56" i="34"/>
  <c r="E46" i="34"/>
  <c r="E21" i="34"/>
  <c r="E52" i="34"/>
  <c r="E24" i="34"/>
  <c r="E7" i="34"/>
  <c r="E53" i="34"/>
  <c r="E49" i="34"/>
  <c r="E35" i="34"/>
  <c r="E37" i="34"/>
  <c r="E23" i="34"/>
  <c r="E10" i="34"/>
  <c r="E9" i="34"/>
  <c r="E42" i="34"/>
  <c r="E27" i="34"/>
  <c r="E62" i="34"/>
  <c r="E16" i="34"/>
  <c r="E32" i="34"/>
  <c r="E34" i="34"/>
  <c r="E38" i="34"/>
  <c r="E28" i="34"/>
  <c r="E33" i="34"/>
  <c r="E36" i="34"/>
  <c r="E40" i="34"/>
  <c r="E39" i="34"/>
  <c r="E14" i="34"/>
  <c r="E43" i="34"/>
  <c r="E41" i="34"/>
  <c r="E58" i="34"/>
  <c r="E18" i="34"/>
  <c r="E15" i="34"/>
  <c r="E13" i="34"/>
  <c r="E29" i="34"/>
  <c r="E19" i="34"/>
  <c r="E48" i="34"/>
  <c r="E11" i="34"/>
  <c r="E22" i="34"/>
  <c r="E54" i="34"/>
  <c r="E17" i="34"/>
  <c r="E8" i="34"/>
  <c r="E26" i="34"/>
  <c r="E12" i="34"/>
  <c r="E65" i="34"/>
  <c r="E47" i="34"/>
  <c r="E59" i="34"/>
  <c r="E50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21" i="7"/>
  <c r="AI3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47" i="34"/>
  <c r="AJ35" i="34"/>
  <c r="AJ7" i="34"/>
  <c r="AK2" i="34" l="1"/>
  <c r="AL4" i="34"/>
  <c r="AL2" i="34" s="1"/>
  <c r="AL35" i="34"/>
  <c r="AJ23" i="34"/>
  <c r="AJ62" i="34"/>
  <c r="AJ55" i="34"/>
  <c r="AJ50" i="34"/>
  <c r="AJ28" i="34"/>
  <c r="AJ11" i="34"/>
  <c r="AJ54" i="34"/>
  <c r="AJ48" i="34"/>
  <c r="AJ53" i="34"/>
  <c r="AJ42" i="34"/>
  <c r="AJ51" i="34"/>
  <c r="AJ26" i="34"/>
  <c r="AJ67" i="34"/>
  <c r="AJ66" i="34"/>
  <c r="AJ10" i="34"/>
  <c r="AJ49" i="34"/>
  <c r="AJ41" i="34"/>
  <c r="AJ19" i="34"/>
  <c r="AJ57" i="34"/>
  <c r="AJ20" i="34"/>
  <c r="AJ13" i="34"/>
  <c r="AJ45" i="34"/>
  <c r="AJ64" i="34"/>
  <c r="AJ34" i="34"/>
  <c r="AJ18" i="34"/>
  <c r="AJ43" i="34"/>
  <c r="AJ16" i="34"/>
  <c r="AJ17" i="34"/>
  <c r="AJ46" i="34"/>
  <c r="AJ52" i="34"/>
  <c r="AJ65" i="34"/>
  <c r="AJ24" i="34"/>
  <c r="AJ31" i="34"/>
  <c r="AJ33" i="34"/>
  <c r="AJ58" i="34"/>
  <c r="AK35" i="34"/>
  <c r="AJ9" i="34"/>
  <c r="AJ37" i="34"/>
  <c r="AJ61" i="34"/>
  <c r="AJ60" i="34"/>
  <c r="AJ38" i="34"/>
  <c r="AJ63" i="34"/>
  <c r="AJ56" i="34"/>
  <c r="AJ8" i="34"/>
  <c r="AJ22" i="34"/>
  <c r="AJ40" i="34"/>
  <c r="AJ21" i="34"/>
  <c r="AJ39" i="34"/>
  <c r="AJ12" i="34"/>
  <c r="AJ59" i="34"/>
  <c r="AJ15" i="34"/>
  <c r="AJ3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L63" i="34"/>
  <c r="AK26" i="34"/>
  <c r="AK24" i="34"/>
  <c r="AK10" i="34"/>
  <c r="AK37" i="34"/>
  <c r="AL21" i="34"/>
  <c r="AL37" i="34"/>
  <c r="AK56" i="34"/>
  <c r="AJ25" i="34"/>
  <c r="AK55" i="34"/>
  <c r="AL46" i="34"/>
  <c r="AK8" i="34"/>
  <c r="AK13" i="34"/>
  <c r="AK23" i="34"/>
  <c r="AK51" i="34"/>
  <c r="AL43" i="34"/>
  <c r="AL51" i="34"/>
  <c r="AL19" i="34"/>
  <c r="AL64" i="34"/>
  <c r="AK38" i="34"/>
  <c r="AK43" i="34"/>
  <c r="AK54" i="34"/>
  <c r="AK50" i="34"/>
  <c r="AK58" i="34"/>
  <c r="AJ27" i="34"/>
  <c r="AL30" i="34"/>
  <c r="AK18" i="34"/>
  <c r="AL53" i="34"/>
  <c r="AK47" i="34"/>
  <c r="AL49" i="34"/>
  <c r="AK20" i="34"/>
  <c r="AL47" i="34"/>
  <c r="AL58" i="34"/>
  <c r="AK17" i="34"/>
  <c r="AK33" i="34"/>
  <c r="AL52" i="34"/>
  <c r="AL42" i="34"/>
  <c r="AL57" i="34"/>
  <c r="AJ44" i="34"/>
  <c r="AL17" i="34"/>
  <c r="AK9" i="34"/>
  <c r="AL39" i="34"/>
  <c r="AL45" i="34"/>
  <c r="AL56" i="34"/>
  <c r="AK41" i="34"/>
  <c r="AK57" i="34"/>
  <c r="AL48" i="34"/>
  <c r="AK46" i="34"/>
  <c r="AL8" i="34"/>
  <c r="AL10" i="34"/>
  <c r="AL55" i="34"/>
  <c r="AK11" i="34"/>
  <c r="AL13" i="34"/>
  <c r="AK52" i="34"/>
  <c r="AL54" i="34"/>
  <c r="AL7" i="34"/>
  <c r="AL24" i="34"/>
  <c r="AK48" i="34"/>
  <c r="AL33" i="34"/>
  <c r="AK64" i="34"/>
  <c r="AK45" i="34"/>
  <c r="AL59" i="34"/>
  <c r="AK59" i="34"/>
  <c r="AL34" i="34"/>
  <c r="AL65" i="34"/>
  <c r="AL50" i="34"/>
  <c r="AL15" i="34"/>
  <c r="AK42" i="34"/>
  <c r="AL28" i="34"/>
  <c r="AL16" i="34"/>
  <c r="AL40" i="34"/>
  <c r="AK49" i="34"/>
  <c r="AK16" i="34"/>
  <c r="AK7" i="34"/>
  <c r="AL9" i="34"/>
  <c r="AJ29" i="34"/>
  <c r="AK39" i="34"/>
  <c r="AL41" i="34"/>
  <c r="AK30" i="34"/>
  <c r="AL11" i="34"/>
  <c r="AL26" i="34"/>
  <c r="AK40" i="34"/>
  <c r="AK34" i="34"/>
  <c r="AK12" i="34"/>
  <c r="AL20" i="34"/>
  <c r="AK21" i="34"/>
  <c r="AL12" i="34"/>
  <c r="AL38" i="34"/>
  <c r="AL18" i="34"/>
  <c r="AK19" i="34"/>
  <c r="AK65" i="34"/>
  <c r="AL31" i="34"/>
  <c r="AK63" i="34"/>
  <c r="AL23" i="34"/>
  <c r="AJ14" i="34"/>
  <c r="AK53" i="34"/>
  <c r="AK28" i="34"/>
  <c r="AL62" i="34"/>
  <c r="AJ32" i="34"/>
  <c r="AJ36" i="34"/>
  <c r="AL22" i="34"/>
  <c r="AK31" i="34"/>
  <c r="AK62" i="34"/>
  <c r="AK15" i="34"/>
  <c r="AK22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K36" i="34"/>
  <c r="AK25" i="34"/>
  <c r="AL27" i="34"/>
  <c r="AL25" i="34"/>
  <c r="AK27" i="34"/>
  <c r="AL29" i="34"/>
  <c r="AL36" i="34"/>
  <c r="AL14" i="34"/>
  <c r="AL32" i="34"/>
  <c r="AK14" i="34"/>
  <c r="AL44" i="34"/>
  <c r="AK32" i="34"/>
  <c r="AK44" i="34"/>
  <c r="AK29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K12" i="7"/>
  <c r="BG12" i="7"/>
  <c r="BA12" i="7"/>
  <c r="BK22" i="7" l="1"/>
  <c r="BK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W58" i="5" s="1"/>
  <c r="AV56" i="5"/>
  <c r="AU56" i="5"/>
  <c r="AU58" i="5" s="1"/>
  <c r="AT56" i="5"/>
  <c r="AT58" i="5" s="1"/>
  <c r="AW47" i="5"/>
  <c r="AV47" i="5"/>
  <c r="AU47" i="5"/>
  <c r="AT47" i="5"/>
  <c r="AW46" i="5"/>
  <c r="AW52" i="5" s="1"/>
  <c r="AV46" i="5"/>
  <c r="AV52" i="5" s="1"/>
  <c r="AU46" i="5"/>
  <c r="AU52" i="5" s="1"/>
  <c r="AT46" i="5"/>
  <c r="AT52" i="5" s="1"/>
  <c r="AW45" i="5"/>
  <c r="AV45" i="5"/>
  <c r="AU45" i="5"/>
  <c r="AT45" i="5"/>
  <c r="AW44" i="5"/>
  <c r="AW51" i="5" s="1"/>
  <c r="N12" i="9" s="1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W50" i="5" s="1"/>
  <c r="N11" i="9" s="1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BG13" i="7"/>
  <c r="BD12" i="7"/>
  <c r="BG22" i="7"/>
  <c r="AR12" i="7"/>
  <c r="AL12" i="7"/>
  <c r="AI12" i="7"/>
  <c r="BA22" i="7"/>
  <c r="AU12" i="7"/>
  <c r="AX12" i="7"/>
  <c r="AU22" i="7"/>
  <c r="BA13" i="7"/>
  <c r="AO12" i="7"/>
  <c r="H14" i="24" l="1"/>
  <c r="I13" i="24" s="1"/>
  <c r="AD25" i="27"/>
  <c r="AE25" i="27" s="1"/>
  <c r="AD25" i="24"/>
  <c r="R12" i="7"/>
  <c r="AG6" i="24"/>
  <c r="G9" i="11"/>
  <c r="H14" i="27"/>
  <c r="I13" i="27" s="1"/>
  <c r="I8" i="24"/>
  <c r="R16" i="10"/>
  <c r="Q16" i="10"/>
  <c r="P16" i="10"/>
  <c r="F14" i="17"/>
  <c r="H14" i="25"/>
  <c r="M52" i="5"/>
  <c r="U52" i="5"/>
  <c r="E58" i="5"/>
  <c r="AO58" i="5"/>
  <c r="AA26" i="7"/>
  <c r="BD13" i="7"/>
  <c r="BD22" i="7"/>
  <c r="AR22" i="7"/>
  <c r="AL13" i="7"/>
  <c r="AO13" i="7"/>
  <c r="AO22" i="7"/>
  <c r="AX22" i="7"/>
  <c r="AI13" i="7"/>
  <c r="AR13" i="7"/>
  <c r="AI22" i="7"/>
  <c r="AL22" i="7"/>
  <c r="AU13" i="7"/>
  <c r="AX13" i="7"/>
  <c r="Q58" i="5" l="1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K23" i="7"/>
  <c r="BK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BG23" i="7"/>
  <c r="AU32" i="7"/>
  <c r="AI32" i="7"/>
  <c r="AR32" i="7"/>
  <c r="BA23" i="7"/>
  <c r="AR23" i="7"/>
  <c r="AU23" i="7"/>
  <c r="AL32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K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K14" i="7"/>
  <c r="U33" i="7"/>
  <c r="I13" i="7"/>
  <c r="AF27" i="7"/>
  <c r="AG25" i="7" s="1"/>
  <c r="M16" i="10"/>
  <c r="S16" i="10" s="1"/>
  <c r="N16" i="10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BG14" i="7"/>
  <c r="BD23" i="7"/>
  <c r="AO14" i="7"/>
  <c r="AR14" i="7"/>
  <c r="AU14" i="7"/>
  <c r="AL23" i="7"/>
  <c r="AX23" i="7"/>
  <c r="BA14" i="7"/>
  <c r="AI23" i="7"/>
  <c r="AO23" i="7"/>
  <c r="AU33" i="7"/>
  <c r="AO32" i="7"/>
  <c r="U16" i="10" l="1"/>
  <c r="O16" i="10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K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K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BD14" i="7"/>
  <c r="BG24" i="7"/>
  <c r="BG15" i="7"/>
  <c r="BA15" i="7"/>
  <c r="BA24" i="7"/>
  <c r="AR33" i="7"/>
  <c r="AO33" i="7"/>
  <c r="AU24" i="7"/>
  <c r="AL33" i="7"/>
  <c r="AI33" i="7"/>
  <c r="AL14" i="7"/>
  <c r="AU15" i="7"/>
  <c r="AI14" i="7"/>
  <c r="AX1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K25" i="7"/>
  <c r="BK34" i="7"/>
  <c r="BK16" i="7"/>
  <c r="BG16" i="7"/>
  <c r="BD15" i="7"/>
  <c r="BG25" i="7"/>
  <c r="BD24" i="7"/>
  <c r="AO15" i="7"/>
  <c r="AL24" i="7"/>
  <c r="AX24" i="7"/>
  <c r="AL15" i="7"/>
  <c r="AR24" i="7"/>
  <c r="AL16" i="7"/>
  <c r="BA25" i="7"/>
  <c r="BA16" i="7"/>
  <c r="AO24" i="7"/>
  <c r="AX15" i="7"/>
  <c r="AR15" i="7"/>
  <c r="AI15" i="7"/>
  <c r="AI24" i="7"/>
  <c r="AL34" i="7"/>
  <c r="BH16" i="7" l="1"/>
  <c r="BG17" i="7"/>
  <c r="BA17" i="7"/>
  <c r="BB16" i="7" s="1"/>
  <c r="BD25" i="7"/>
  <c r="BD16" i="7"/>
  <c r="AO34" i="7"/>
  <c r="AX25" i="7"/>
  <c r="AI16" i="7"/>
  <c r="AR34" i="7"/>
  <c r="AU16" i="7"/>
  <c r="AU25" i="7"/>
  <c r="AX16" i="7"/>
  <c r="AL25" i="7"/>
  <c r="AR16" i="7"/>
  <c r="AI25" i="7"/>
  <c r="AR25" i="7"/>
  <c r="AU34" i="7"/>
  <c r="AI34" i="7"/>
  <c r="AO25" i="7"/>
  <c r="AO16" i="7"/>
  <c r="BE16" i="7" l="1"/>
  <c r="BD17" i="7"/>
  <c r="BH11" i="7"/>
  <c r="BH12" i="7"/>
  <c r="BH13" i="7"/>
  <c r="BH14" i="7"/>
  <c r="BH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K35" i="7"/>
  <c r="BK26" i="7"/>
  <c r="AI17" i="7"/>
  <c r="BG26" i="7"/>
  <c r="AU35" i="7"/>
  <c r="AL26" i="7"/>
  <c r="BA26" i="7"/>
  <c r="BG27" i="7" l="1"/>
  <c r="BE11" i="7"/>
  <c r="BE12" i="7"/>
  <c r="BE13" i="7"/>
  <c r="BE14" i="7"/>
  <c r="BE15" i="7"/>
  <c r="BH17" i="7"/>
  <c r="AP12" i="7"/>
  <c r="AP16" i="7"/>
  <c r="AP14" i="7"/>
  <c r="AP13" i="7"/>
  <c r="AP15" i="7"/>
  <c r="AV16" i="7"/>
  <c r="BA27" i="7"/>
  <c r="BB26" i="7" s="1"/>
  <c r="AV13" i="7"/>
  <c r="BB17" i="7"/>
  <c r="AV12" i="7"/>
  <c r="AV15" i="7"/>
  <c r="AV11" i="7"/>
  <c r="AY11" i="7"/>
  <c r="AY12" i="7"/>
  <c r="AY13" i="7"/>
  <c r="AY14" i="7"/>
  <c r="AY15" i="7"/>
  <c r="AY16" i="7"/>
  <c r="BD26" i="7"/>
  <c r="AX26" i="7"/>
  <c r="AR26" i="7"/>
  <c r="AI35" i="7"/>
  <c r="AL35" i="7"/>
  <c r="AR35" i="7"/>
  <c r="AI26" i="7"/>
  <c r="AU26" i="7"/>
  <c r="AO35" i="7"/>
  <c r="AO26" i="7"/>
  <c r="BD27" i="7" l="1"/>
  <c r="BE17" i="7"/>
  <c r="BH21" i="7"/>
  <c r="BH22" i="7"/>
  <c r="BH23" i="7"/>
  <c r="BH24" i="7"/>
  <c r="BH25" i="7"/>
  <c r="BH26" i="7"/>
  <c r="AP17" i="7"/>
  <c r="AU27" i="7"/>
  <c r="AV23" i="7" s="1"/>
  <c r="AV17" i="7"/>
  <c r="BB21" i="7"/>
  <c r="BB22" i="7"/>
  <c r="BB23" i="7"/>
  <c r="BB24" i="7"/>
  <c r="BB25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K36" i="7"/>
  <c r="AM12" i="7"/>
  <c r="AM13" i="7"/>
  <c r="AM11" i="7"/>
  <c r="AM14" i="7"/>
  <c r="AM15" i="7"/>
  <c r="AO36" i="7"/>
  <c r="BH27" i="7" l="1"/>
  <c r="BE21" i="7"/>
  <c r="BE22" i="7"/>
  <c r="BE23" i="7"/>
  <c r="BE24" i="7"/>
  <c r="BE25" i="7"/>
  <c r="BE26" i="7"/>
  <c r="AV24" i="7"/>
  <c r="AV22" i="7"/>
  <c r="AV26" i="7"/>
  <c r="AV25" i="7"/>
  <c r="AV21" i="7"/>
  <c r="BB27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L36" i="7"/>
  <c r="AU36" i="7"/>
  <c r="AR36" i="7"/>
  <c r="AI36" i="7"/>
  <c r="BE27" i="7" l="1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V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YTD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BG7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last year end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D38" authorId="0" shapeId="0" xr:uid="{00000000-0006-0000-0D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Modified to align with 2018Q2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AK33" authorId="0" shapeId="0" xr:uid="{00000000-0006-0000-1100-000001000000}">
      <text>
        <r>
          <rPr>
            <b/>
            <sz val="9"/>
            <color indexed="81"/>
            <rFont val="Tahoma"/>
            <charset val="1"/>
          </rPr>
          <t>Michael Buckley:</t>
        </r>
        <r>
          <rPr>
            <sz val="9"/>
            <color indexed="81"/>
            <rFont val="Tahoma"/>
            <charset val="1"/>
          </rPr>
          <t xml:space="preserve">
Hardwired for Q1 only so Oncor isn't mistakingly marked as "upgrade".  Need to reinstate the formula here in 2017 Q2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4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Aaron Trent</author>
  </authors>
  <commentList>
    <comment ref="AG5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Buckley, Michael</author>
  </authors>
  <commentList>
    <comment ref="C50" authorId="0" shapeId="0" xr:uid="{00000000-0006-0000-3200-000001000000}">
      <text>
        <r>
          <rPr>
            <b/>
            <sz val="9"/>
            <color indexed="81"/>
            <rFont val="Tahoma"/>
            <charset val="1"/>
          </rPr>
          <t>Buckley, Michael:</t>
        </r>
        <r>
          <rPr>
            <sz val="9"/>
            <color indexed="81"/>
            <rFont val="Tahoma"/>
            <charset val="1"/>
          </rPr>
          <t xml:space="preserve">
Removed due to M&amp;A activity in 2018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Buckley</author>
  </authors>
  <commentList>
    <comment ref="D56" authorId="0" shapeId="0" xr:uid="{00000000-0006-0000-3500-000001000000}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<sst xmlns="http://schemas.openxmlformats.org/spreadsheetml/2006/main" count="18201" uniqueCount="598">
  <si>
    <t>Company Name</t>
  </si>
  <si>
    <t>CH Energy Group, Inc.</t>
  </si>
  <si>
    <t>A</t>
  </si>
  <si>
    <t>Consolidated Edison, Inc.</t>
  </si>
  <si>
    <t>FPL Group, Inc.</t>
  </si>
  <si>
    <t>Niagara Mohawk Power Corporation</t>
  </si>
  <si>
    <t>NSTAR</t>
  </si>
  <si>
    <t>Southern Company</t>
  </si>
  <si>
    <t>WPS Resources Corporation</t>
  </si>
  <si>
    <t>Ameren Corporation</t>
  </si>
  <si>
    <t>A-</t>
  </si>
  <si>
    <t>Exelon Corporation</t>
  </si>
  <si>
    <t>MDU Resources Group, Inc.</t>
  </si>
  <si>
    <t>SCANA Corporation</t>
  </si>
  <si>
    <t>Vectren Corporation</t>
  </si>
  <si>
    <t>ALLETE, Inc.</t>
  </si>
  <si>
    <t>BBB+</t>
  </si>
  <si>
    <t>Alliant Energy Corporation</t>
  </si>
  <si>
    <t>Dominion Resources, Inc.</t>
  </si>
  <si>
    <t>Energy East Corporation</t>
  </si>
  <si>
    <t>IDACORP, Inc.</t>
  </si>
  <si>
    <t>OGE Energy Corp.</t>
  </si>
  <si>
    <t>Otter Tail Corporation</t>
  </si>
  <si>
    <t>Pepco Holdings, Inc.</t>
  </si>
  <si>
    <t>Portland General Electric Company</t>
  </si>
  <si>
    <t>Sempra Energy</t>
  </si>
  <si>
    <t>Wisconsin Energy Corporation</t>
  </si>
  <si>
    <t>American Electric Power Company</t>
  </si>
  <si>
    <t>BBB</t>
  </si>
  <si>
    <t>CenterPoint Energy, Inc.</t>
  </si>
  <si>
    <t>Cleco Corporation</t>
  </si>
  <si>
    <t>DTE Energy Company</t>
  </si>
  <si>
    <t>Duke Energy Corporation</t>
  </si>
  <si>
    <t>Duquesne Light Holdings, Inc.</t>
  </si>
  <si>
    <t>El Paso Electric Company</t>
  </si>
  <si>
    <t>Empire District Electric Company</t>
  </si>
  <si>
    <t>Entergy Corporation</t>
  </si>
  <si>
    <t>Great Plains Energy, Inc.</t>
  </si>
  <si>
    <t>Green Mountain Power Corporation</t>
  </si>
  <si>
    <t>Hawaiian Electric Industries, Inc.</t>
  </si>
  <si>
    <t>NiSource Inc.</t>
  </si>
  <si>
    <t>Pinnacle West Capital Corporation</t>
  </si>
  <si>
    <t>PNM Resources, Inc.</t>
  </si>
  <si>
    <t>PPL Corporation</t>
  </si>
  <si>
    <t>Progress Energy Inc.</t>
  </si>
  <si>
    <t>Public Service Enterprise Group Incorporated</t>
  </si>
  <si>
    <t>TXU Corp.</t>
  </si>
  <si>
    <t>Xcel Energy, Inc.</t>
  </si>
  <si>
    <t>Black Hills Corporation</t>
  </si>
  <si>
    <t>BBB-</t>
  </si>
  <si>
    <t>Central Vermont Public Service Corporation</t>
  </si>
  <si>
    <t>FirstEnergy Corp.</t>
  </si>
  <si>
    <t>MidAmerican Energy Holdings Company</t>
  </si>
  <si>
    <t>PG&amp;E Corporation</t>
  </si>
  <si>
    <t>Puget Energy, Inc.</t>
  </si>
  <si>
    <t>Avista Corporation</t>
  </si>
  <si>
    <t>BB+</t>
  </si>
  <si>
    <t>Edison International</t>
  </si>
  <si>
    <t>IPALCO Enterprises, Inc.</t>
  </si>
  <si>
    <t>Westar Energy, Inc.</t>
  </si>
  <si>
    <t>CMS Energy Corporation</t>
  </si>
  <si>
    <t>BB</t>
  </si>
  <si>
    <t>TECO Energy, Inc.</t>
  </si>
  <si>
    <t>UniSource Energy Corporation</t>
  </si>
  <si>
    <t>DPL Inc.</t>
  </si>
  <si>
    <t>BB-</t>
  </si>
  <si>
    <t>NorthWestern Corporation</t>
  </si>
  <si>
    <t>Allegheny Energy, Inc.</t>
  </si>
  <si>
    <t>B+</t>
  </si>
  <si>
    <t>Sierra Pacific Resources</t>
  </si>
  <si>
    <t>Aquila, Inc.</t>
  </si>
  <si>
    <t>B-</t>
  </si>
  <si>
    <t>Maine &amp; Maritimes Corporation</t>
  </si>
  <si>
    <t/>
  </si>
  <si>
    <t>MGE Energy, Inc.</t>
  </si>
  <si>
    <t>UIL Holdings Corporation</t>
  </si>
  <si>
    <t>Unitil Corporation</t>
  </si>
  <si>
    <t>Rating</t>
  </si>
  <si>
    <t>B</t>
  </si>
  <si>
    <t>Below BBB-</t>
  </si>
  <si>
    <t>Total</t>
  </si>
  <si>
    <t>#</t>
  </si>
  <si>
    <t>%</t>
  </si>
  <si>
    <t>Note:</t>
  </si>
  <si>
    <t xml:space="preserve">Note: </t>
  </si>
  <si>
    <t>All ratings are at the holding company level with the exception of 4 companies that do not have a credit rating (Maine &amp; Maritimes, MGE Energy, Unitil Corp, &amp; UIL Holdings)</t>
  </si>
  <si>
    <t>D</t>
  </si>
  <si>
    <t>KeySpan Corp.</t>
  </si>
  <si>
    <t>Constellation Energy, Inc.</t>
  </si>
  <si>
    <t>Fitch</t>
  </si>
  <si>
    <t>S&amp;P</t>
  </si>
  <si>
    <t>2002 Q3</t>
  </si>
  <si>
    <t>2002 Q4</t>
  </si>
  <si>
    <t>2003 Q1</t>
  </si>
  <si>
    <t>2003 Q2</t>
  </si>
  <si>
    <t>2004 Q1</t>
  </si>
  <si>
    <t>2004 Q3</t>
  </si>
  <si>
    <t>2005 Q1</t>
  </si>
  <si>
    <t>Standard &amp; Poor's</t>
  </si>
  <si>
    <t>MOODY'S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</si>
  <si>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</si>
  <si>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</si>
  <si>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</si>
  <si>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</si>
  <si>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</si>
  <si>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</si>
  <si>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</si>
  <si>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</si>
  <si>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</si>
  <si>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</si>
  <si>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</si>
  <si>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</si>
  <si>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A3</t>
  </si>
  <si>
    <t>Baa1</t>
  </si>
  <si>
    <t>Baa2</t>
  </si>
  <si>
    <t>Baa3</t>
  </si>
  <si>
    <t>Ba1</t>
  </si>
  <si>
    <t>Ba2</t>
  </si>
  <si>
    <t>Ba3</t>
  </si>
  <si>
    <t>B1</t>
  </si>
  <si>
    <t>B2</t>
  </si>
  <si>
    <t>B3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</si>
  <si>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</si>
  <si>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</si>
  <si>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</si>
  <si>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</si>
  <si>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</si>
  <si>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</si>
  <si>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</si>
  <si>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</si>
  <si>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</si>
  <si>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</si>
  <si>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Source: Fitch Ratings, Moody's, Standard &amp; Poor's</t>
  </si>
  <si>
    <t>Source: Standard &amp; Poor's, SNL Financial</t>
  </si>
  <si>
    <t>Average</t>
  </si>
  <si>
    <t xml:space="preserve">Average </t>
  </si>
  <si>
    <t>N/A</t>
  </si>
  <si>
    <t>Regulated</t>
  </si>
  <si>
    <t>A or higher</t>
  </si>
  <si>
    <t>Mostly Regulated</t>
  </si>
  <si>
    <t>Diversified</t>
  </si>
  <si>
    <t>Source: Standard &amp; Poor's, SNL Financial, EEI Finance Department, and company annual reports</t>
  </si>
  <si>
    <t>S&amp;P Utility Credit Rating Distribution by Category</t>
  </si>
  <si>
    <t>2001 Y</t>
  </si>
  <si>
    <t>El Paso Electric</t>
  </si>
  <si>
    <t>Empire District</t>
  </si>
  <si>
    <t>Green Mtn Power Corp</t>
  </si>
  <si>
    <t>Illinois Power Co</t>
  </si>
  <si>
    <t>IPALCO Enterprises</t>
  </si>
  <si>
    <t>Montana Power</t>
  </si>
  <si>
    <t>New England Power</t>
  </si>
  <si>
    <t>Niagara Mohawk Power Corp</t>
  </si>
  <si>
    <t>Pacificorp</t>
  </si>
  <si>
    <t>Portland General Electric</t>
  </si>
  <si>
    <t>RGS Energy Group, Inc.</t>
  </si>
  <si>
    <t>TNP Enterprises</t>
  </si>
  <si>
    <t>Allegheny Energy</t>
  </si>
  <si>
    <t>MidAmerican Energy Holdings</t>
  </si>
  <si>
    <t>Xcel Energy</t>
  </si>
  <si>
    <t>Ameren Corp</t>
  </si>
  <si>
    <t>Maine Public Service</t>
  </si>
  <si>
    <t>Puget Energy</t>
  </si>
  <si>
    <t>Unisource</t>
  </si>
  <si>
    <t>Southern Co</t>
  </si>
  <si>
    <t>Energy East</t>
  </si>
  <si>
    <t>Great Plains Energy</t>
  </si>
  <si>
    <t>Centr Vermont Pub Serv</t>
  </si>
  <si>
    <t>Consolidated Edison</t>
  </si>
  <si>
    <t>Pinnacle West Capital</t>
  </si>
  <si>
    <t>UIL Holdings</t>
  </si>
  <si>
    <t>Wisconsin Energy</t>
  </si>
  <si>
    <t>CH Energy Group</t>
  </si>
  <si>
    <t>PEPCO</t>
  </si>
  <si>
    <t>Exelon</t>
  </si>
  <si>
    <t>IDACORP Inc</t>
  </si>
  <si>
    <t>Entergy</t>
  </si>
  <si>
    <t>First Energy</t>
  </si>
  <si>
    <t>Vectren</t>
  </si>
  <si>
    <t>DTE Energy</t>
  </si>
  <si>
    <t>Keyspan</t>
  </si>
  <si>
    <t>PG&amp;E</t>
  </si>
  <si>
    <t>Conectiv</t>
  </si>
  <si>
    <t>Progress Energy</t>
  </si>
  <si>
    <t>FPL Group</t>
  </si>
  <si>
    <t>Otter Tail Power</t>
  </si>
  <si>
    <t>DQE</t>
  </si>
  <si>
    <t>Westar Energy Inc.</t>
  </si>
  <si>
    <t>Alliant Energy</t>
  </si>
  <si>
    <t>Avista Corp.</t>
  </si>
  <si>
    <t>WPS Resources</t>
  </si>
  <si>
    <t>TECO Energy</t>
  </si>
  <si>
    <t>Cinergy</t>
  </si>
  <si>
    <t>Public Service Enterprise Group</t>
  </si>
  <si>
    <t>PPL Corp</t>
  </si>
  <si>
    <t>CMS Energy</t>
  </si>
  <si>
    <t>OGE Energy Corp</t>
  </si>
  <si>
    <t>American Electric Power</t>
  </si>
  <si>
    <t>Constellation Energy</t>
  </si>
  <si>
    <t>NiSource</t>
  </si>
  <si>
    <t>Hawaiian Electric</t>
  </si>
  <si>
    <t>Duke Energy</t>
  </si>
  <si>
    <t>TXU</t>
  </si>
  <si>
    <t>Black Hills Corp</t>
  </si>
  <si>
    <t>Northwestern Corp</t>
  </si>
  <si>
    <t>Dominion Resources</t>
  </si>
  <si>
    <t>MDU Resources</t>
  </si>
  <si>
    <t>Allete</t>
  </si>
  <si>
    <t xml:space="preserve">BBB- 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</si>
  <si>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</si>
  <si>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</si>
  <si>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</si>
  <si>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and 6 companies that do not have a parent level rating in SNL Datasource -- see below.  </t>
  </si>
  <si>
    <t xml:space="preserve">Great Plains Enregy - Using Kansas City Power &amp; Light (A- on 1/2/02). </t>
  </si>
  <si>
    <t>Unisource - Using Tuscon Electric Power Company credit rating (BB on 11/08/02).</t>
  </si>
  <si>
    <t xml:space="preserve">PEPCO - Using Potomac Electric Power rating (BBB+ on 7/15/03). </t>
  </si>
  <si>
    <t>2005 Q4</t>
  </si>
  <si>
    <t>Rating Agency Activity</t>
  </si>
  <si>
    <t>Total Rating Activity</t>
  </si>
  <si>
    <t xml:space="preserve">Moody's </t>
  </si>
  <si>
    <t xml:space="preserve">Total </t>
  </si>
  <si>
    <t>Upgrades</t>
  </si>
  <si>
    <t>Downgrades</t>
  </si>
  <si>
    <t>% Upgrades</t>
  </si>
  <si>
    <t>MGE Energy</t>
  </si>
  <si>
    <t xml:space="preserve">Cinergy Corp and Pacificorp are no longer part of the EEI Index.  Numbers based on 64+4 companies.  </t>
  </si>
  <si>
    <t>2001 Q1</t>
  </si>
  <si>
    <t>2001 Q2</t>
  </si>
  <si>
    <t>2006 Q1</t>
  </si>
  <si>
    <t>2005 Q2</t>
  </si>
  <si>
    <t>2005 Q3</t>
  </si>
  <si>
    <t>2006 Q2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</si>
  <si>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</si>
  <si>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</si>
  <si>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</si>
  <si>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>2006 Q3</t>
  </si>
  <si>
    <t>2006 Q4</t>
  </si>
  <si>
    <t>Louisville Gas &amp; Electric</t>
  </si>
  <si>
    <t>Kentucky Utilities</t>
  </si>
  <si>
    <t>2007Q1</t>
  </si>
  <si>
    <t>2007 Q2</t>
  </si>
  <si>
    <t>2007 Q3</t>
  </si>
  <si>
    <t>I. S&amp;P Utility Credit Ratings Distribution - 2006</t>
  </si>
  <si>
    <t>I. S&amp;P Utility Credit Ratings Distribution - 2001</t>
  </si>
  <si>
    <t>Direction of Ratings Actions</t>
  </si>
  <si>
    <t>Credit Ratings Scales</t>
  </si>
  <si>
    <t>Investment Grade</t>
  </si>
  <si>
    <t>Speculative Grade</t>
  </si>
  <si>
    <t>2007 Q4</t>
  </si>
  <si>
    <t>Energy Future Holdings Corp.</t>
  </si>
  <si>
    <t>2008 Q1</t>
  </si>
  <si>
    <t>2008 Q2</t>
  </si>
  <si>
    <t>2008 Q3</t>
  </si>
  <si>
    <t>2008 Q4</t>
  </si>
  <si>
    <t>Integrys Energy Group, Inc.</t>
  </si>
  <si>
    <t>Kentucky Utilities Company</t>
  </si>
  <si>
    <t>Louisville Gas and Electric Company</t>
  </si>
  <si>
    <t>Progress Energy, Inc.</t>
  </si>
  <si>
    <t>Xcel Energy Inc.</t>
  </si>
  <si>
    <t>American Electric Power Company, Inc.</t>
  </si>
  <si>
    <t>Constellation Energy Group, Inc.</t>
  </si>
  <si>
    <t>Great Plains Energy Inc.</t>
  </si>
  <si>
    <t>Duquesne Light Company</t>
  </si>
  <si>
    <t>MGE Energy, Inc.*</t>
  </si>
  <si>
    <t>CH Energy Group, Inc.*</t>
  </si>
  <si>
    <t>UniSource Energy Corporation*</t>
  </si>
  <si>
    <t>NV Energy, Inc.</t>
  </si>
  <si>
    <t xml:space="preserve">Notes: </t>
  </si>
  <si>
    <t>Source:  Standard &amp; Poor's, SNL Financial and EEI Finance Dept.</t>
  </si>
  <si>
    <t>Note:  Chart depicts the number of occurences and includes each event, even if multiple downgrades occurred for a single company.</t>
  </si>
  <si>
    <t>II.  Upgrades &amp; Downgrades</t>
  </si>
  <si>
    <t>2009 Q1</t>
  </si>
  <si>
    <t>III.  Total Ratings Actions</t>
  </si>
  <si>
    <t>IV.  Direction of Ratings Actions</t>
  </si>
  <si>
    <t>AEE</t>
  </si>
  <si>
    <t>AEP</t>
  </si>
  <si>
    <t>AES</t>
  </si>
  <si>
    <t>ALE</t>
  </si>
  <si>
    <t>AVA</t>
  </si>
  <si>
    <t>AYE</t>
  </si>
  <si>
    <t>BKH</t>
  </si>
  <si>
    <t>BRK</t>
  </si>
  <si>
    <t>CEG</t>
  </si>
  <si>
    <t>CHG</t>
  </si>
  <si>
    <t>CMS</t>
  </si>
  <si>
    <t>CNL</t>
  </si>
  <si>
    <t>CNP</t>
  </si>
  <si>
    <t>CV</t>
  </si>
  <si>
    <t>DPL</t>
  </si>
  <si>
    <t>DTE</t>
  </si>
  <si>
    <t>DUK</t>
  </si>
  <si>
    <t>EAST</t>
  </si>
  <si>
    <t>ED</t>
  </si>
  <si>
    <t>EDE</t>
  </si>
  <si>
    <t>EE</t>
  </si>
  <si>
    <t>EFH</t>
  </si>
  <si>
    <t>EIX</t>
  </si>
  <si>
    <t>ETR</t>
  </si>
  <si>
    <t>EXC</t>
  </si>
  <si>
    <t>FE</t>
  </si>
  <si>
    <t>GMT</t>
  </si>
  <si>
    <t>GXP</t>
  </si>
  <si>
    <t>HE</t>
  </si>
  <si>
    <t>IDA</t>
  </si>
  <si>
    <t>KEY</t>
  </si>
  <si>
    <t>KU</t>
  </si>
  <si>
    <t>LGE</t>
  </si>
  <si>
    <t>LNT</t>
  </si>
  <si>
    <t>MAM</t>
  </si>
  <si>
    <t>MDU</t>
  </si>
  <si>
    <t>MGEE</t>
  </si>
  <si>
    <t>NI</t>
  </si>
  <si>
    <t>NIMO</t>
  </si>
  <si>
    <t>NST</t>
  </si>
  <si>
    <t>NVE</t>
  </si>
  <si>
    <t>NWE</t>
  </si>
  <si>
    <t>OGE</t>
  </si>
  <si>
    <t>OTTR</t>
  </si>
  <si>
    <t>PCG</t>
  </si>
  <si>
    <t>PEG</t>
  </si>
  <si>
    <t>PGN</t>
  </si>
  <si>
    <t>PNM</t>
  </si>
  <si>
    <t>PNW</t>
  </si>
  <si>
    <t>POM</t>
  </si>
  <si>
    <t>POR</t>
  </si>
  <si>
    <t>PPL</t>
  </si>
  <si>
    <t>PSD</t>
  </si>
  <si>
    <t>SCG</t>
  </si>
  <si>
    <t>SO</t>
  </si>
  <si>
    <t>SRE</t>
  </si>
  <si>
    <t>TE</t>
  </si>
  <si>
    <t>TEG</t>
  </si>
  <si>
    <t>UIL</t>
  </si>
  <si>
    <t>UNS</t>
  </si>
  <si>
    <t>UTL</t>
  </si>
  <si>
    <t>VVC</t>
  </si>
  <si>
    <t>WEC</t>
  </si>
  <si>
    <t>WR</t>
  </si>
  <si>
    <t>XEL</t>
  </si>
  <si>
    <t>% regulated at</t>
  </si>
  <si>
    <t>V.  S&amp;P Ratings by Category</t>
  </si>
  <si>
    <t>PG&amp;E Corporation*</t>
  </si>
  <si>
    <t>PG&amp;E:  Using Pacific Gas and Electric Co.; PG&amp;E long-term issuer credit rating not available as of 12/31/08.</t>
  </si>
  <si>
    <t>CH Energy Group:  Using Central Hudson Gas &amp; Electric Corp.; CH Energy Group long-term issuer credit rating not available as of 12/31/08.</t>
  </si>
  <si>
    <t>UniSource Energy:  Using Tucson Electric Power Co.; UniSource Energy long-term issuer credit rating not available as of 12/31/08.</t>
  </si>
  <si>
    <t>12/31/2008r</t>
  </si>
  <si>
    <t>I.  S&amp;P Utility Credit Ratings Distribution -- 2008r</t>
  </si>
  <si>
    <t>I.  S&amp;P Utility Credit Ratings Distribution -- 2007r</t>
  </si>
  <si>
    <t>2008r</t>
  </si>
  <si>
    <t>2007r</t>
  </si>
  <si>
    <t>12/31/2007r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</si>
  <si>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</si>
  <si>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</si>
  <si>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</si>
  <si>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Cat. Avg.</t>
  </si>
  <si>
    <t>2009 Q2</t>
  </si>
  <si>
    <t>CH Energy Group:  Using Central Hudson Gas &amp; Electric Corp.; CH Energy Group long-term issuer credit rating not available.</t>
  </si>
  <si>
    <t>MGE Energy:  Using Madison Gas and Electric Co.; MGE Energy long-term issuer credit rating not available.</t>
  </si>
  <si>
    <t>UniSource Energy:  Using Tucson Electric Power Co.; UniSource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</si>
  <si>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</si>
  <si>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Chg.</t>
  </si>
  <si>
    <t>2009 Q3</t>
  </si>
  <si>
    <t>I.  S&amp;P Utility Credit Ratings Distribution -- Q4 2009</t>
  </si>
  <si>
    <t>Q4 2009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</si>
  <si>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</si>
  <si>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</si>
  <si>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* For the following companies, EEI includes the subsidiary rating because parent/holding company ratings are not available:</t>
  </si>
  <si>
    <t>2009 Q4</t>
  </si>
  <si>
    <t>2010 Q1</t>
  </si>
  <si>
    <t>NEE</t>
  </si>
  <si>
    <t>NextEra Energy, Inc.</t>
  </si>
  <si>
    <t>R</t>
  </si>
  <si>
    <t>MR</t>
  </si>
  <si>
    <t>N.A.</t>
  </si>
  <si>
    <t>2010 Q2</t>
  </si>
  <si>
    <t>2010 Q3</t>
  </si>
  <si>
    <t>I.  S&amp;P Utility Credit Ratings Distribution -- Q4 2010</t>
  </si>
  <si>
    <t>Q4 2010</t>
  </si>
  <si>
    <t>2010 Q4</t>
  </si>
  <si>
    <t>I.  S&amp;P Utility Credit Ratings Distribution -- Q1 2011</t>
  </si>
  <si>
    <t>Q1 2011</t>
  </si>
  <si>
    <t>2011 Q1</t>
  </si>
  <si>
    <t>I.  S&amp;P Utility Credit Ratings Distribution -- Q2 2011</t>
  </si>
  <si>
    <t>Q2 2011</t>
  </si>
  <si>
    <t>2011 Q2</t>
  </si>
  <si>
    <t>I.  S&amp;P Utility Credit Ratings Distribution -- Q3 2011</t>
  </si>
  <si>
    <t>Q3 2011</t>
  </si>
  <si>
    <t>2011 Q3</t>
  </si>
  <si>
    <t>I.  S&amp;P Utility Credit Ratings Distribution -- Q4 2011</t>
  </si>
  <si>
    <t>Q4 2011</t>
  </si>
  <si>
    <t>2011 Q4</t>
  </si>
  <si>
    <t>2012 Q1</t>
  </si>
  <si>
    <t>Quarterly Upgrade</t>
  </si>
  <si>
    <t>Quarterly Downgrade</t>
  </si>
  <si>
    <t>Annual Upgrade</t>
  </si>
  <si>
    <t>Annual Downgrade</t>
  </si>
  <si>
    <t>Quarterly Activity</t>
  </si>
  <si>
    <t>Fitch (upgrade)</t>
  </si>
  <si>
    <t>Fitch (downgrade)</t>
  </si>
  <si>
    <t>Moody's (upgrade)</t>
  </si>
  <si>
    <t>Standard &amp; Poor's (upgrade)</t>
  </si>
  <si>
    <t>Moody's (downgrade)</t>
  </si>
  <si>
    <t>Standard &amp; Poor's (downgrade)</t>
  </si>
  <si>
    <t>Fitch (activity)</t>
  </si>
  <si>
    <t>Moody's (activity)</t>
  </si>
  <si>
    <t>Standard &amp; Poor's (activity)</t>
  </si>
  <si>
    <t>2012 Q2</t>
  </si>
  <si>
    <t>2012 Q3</t>
  </si>
  <si>
    <t>2012 Q4</t>
  </si>
  <si>
    <t>2001 Q3</t>
  </si>
  <si>
    <t>2001 Q4</t>
  </si>
  <si>
    <t>2002 Q1</t>
  </si>
  <si>
    <t>2002 Q2</t>
  </si>
  <si>
    <t>2003 Q3</t>
  </si>
  <si>
    <t>2003 Q4</t>
  </si>
  <si>
    <t>2004 Q2</t>
  </si>
  <si>
    <t>2004 Q4</t>
  </si>
  <si>
    <t>Annual Activity</t>
  </si>
  <si>
    <t>Note:  Chart depicts the number of upgrades / downgrades for all rated companies, including subisidiaries, during the quarter.</t>
  </si>
  <si>
    <t>Upgrades = Downgrades</t>
  </si>
  <si>
    <t>Group</t>
  </si>
  <si>
    <t>Up</t>
  </si>
  <si>
    <t>Down</t>
  </si>
  <si>
    <t>SD</t>
  </si>
  <si>
    <t>Match</t>
  </si>
  <si>
    <t>a:a</t>
  </si>
  <si>
    <t>Previous</t>
  </si>
  <si>
    <t>b1</t>
  </si>
  <si>
    <t>UNS Energy Corporation</t>
  </si>
  <si>
    <t>2013 Q1</t>
  </si>
  <si>
    <t>2013 Q2</t>
  </si>
  <si>
    <t>2013 Q3</t>
  </si>
  <si>
    <t>2013 Q4</t>
  </si>
  <si>
    <t xml:space="preserve"> </t>
  </si>
  <si>
    <t>Ticker</t>
  </si>
  <si>
    <t>Regulated Percentage</t>
  </si>
  <si>
    <t>Category</t>
  </si>
  <si>
    <t>Reg_Percent_2011</t>
  </si>
  <si>
    <t>d:d</t>
  </si>
  <si>
    <t>e1</t>
  </si>
  <si>
    <t>*MGEE</t>
  </si>
  <si>
    <t>*CHG</t>
  </si>
  <si>
    <t>*UNS</t>
  </si>
  <si>
    <t>**DPL</t>
  </si>
  <si>
    <t>**EAST</t>
  </si>
  <si>
    <t>**EFH</t>
  </si>
  <si>
    <t>**IPALCO</t>
  </si>
  <si>
    <t>**BRK</t>
  </si>
  <si>
    <t>*UTL</t>
  </si>
  <si>
    <t>**PSD</t>
  </si>
  <si>
    <t>Average Rating</t>
  </si>
  <si>
    <t>'Credit_2012Q4'!</t>
  </si>
  <si>
    <t>Iberdrola USA</t>
  </si>
  <si>
    <t>c1</t>
  </si>
  <si>
    <t>Moody's</t>
  </si>
  <si>
    <t>rating_scale_Moody</t>
  </si>
  <si>
    <t>rating_scale_SP</t>
  </si>
  <si>
    <t>rating_scale_Fitch</t>
  </si>
  <si>
    <t>RD</t>
  </si>
  <si>
    <t>D+</t>
  </si>
  <si>
    <t>rating_scale_SP_invest</t>
  </si>
  <si>
    <t>DD</t>
  </si>
  <si>
    <t>C+</t>
  </si>
  <si>
    <t>DDD</t>
  </si>
  <si>
    <t>&gt;20</t>
  </si>
  <si>
    <t>=20</t>
  </si>
  <si>
    <t>=19</t>
  </si>
  <si>
    <t>=18</t>
  </si>
  <si>
    <t>=17</t>
  </si>
  <si>
    <t>&lt;17</t>
  </si>
  <si>
    <t>UNS Energy:  Using Tucson Electric Power Co.; UniSource Energy long-term issuer credit rating not available.</t>
  </si>
  <si>
    <t>Score</t>
  </si>
  <si>
    <t>'Credit_2012Q3'!</t>
  </si>
  <si>
    <t>'Credit_2013Q1'!</t>
  </si>
  <si>
    <t>*MGE Energy, Inc.</t>
  </si>
  <si>
    <t>*CH Energy Group, Inc.</t>
  </si>
  <si>
    <t>*UNS Energy Corporation</t>
  </si>
  <si>
    <t>*Unitil Corporation</t>
  </si>
  <si>
    <t>Reg_Percent_2012</t>
  </si>
  <si>
    <t>'Credit_2012Q2'!</t>
  </si>
  <si>
    <t>'Credit_2012Q1'!</t>
  </si>
  <si>
    <t>*MidAmerican Energy Holdings Company</t>
  </si>
  <si>
    <t>*IPALCO Enterprises, Inc.</t>
  </si>
  <si>
    <t>*Energy Future Holdings Corp.</t>
  </si>
  <si>
    <t>*DPL Inc.</t>
  </si>
  <si>
    <t>*Puget Energy, Inc.</t>
  </si>
  <si>
    <t>*Iberdrola USA</t>
  </si>
  <si>
    <t>Reg_Percent_2010</t>
  </si>
  <si>
    <t>'Credit_2012Q4'</t>
  </si>
  <si>
    <t>o</t>
  </si>
  <si>
    <t>r</t>
  </si>
  <si>
    <t>u</t>
  </si>
  <si>
    <t>b6</t>
  </si>
  <si>
    <t>'Credit_2011Q4'!</t>
  </si>
  <si>
    <t>'Credit_2013Q2'!</t>
  </si>
  <si>
    <t>'Credit_2013Q4'</t>
  </si>
  <si>
    <t>'Credit_2013Q3'!</t>
  </si>
  <si>
    <t>Comparison Period</t>
  </si>
  <si>
    <t>'Credit_2013Q4'!</t>
  </si>
  <si>
    <t>2014 Q1</t>
  </si>
  <si>
    <t>'Credit_2014Q1'!</t>
  </si>
  <si>
    <t>Berkshire Energy Holdings Company</t>
  </si>
  <si>
    <t>2014 Q2</t>
  </si>
  <si>
    <t>2014 Q3</t>
  </si>
  <si>
    <t>2014 Q4</t>
  </si>
  <si>
    <t>Reg_Percent_2013</t>
  </si>
  <si>
    <t>e3</t>
  </si>
  <si>
    <t>**Companies that are not publicly traded</t>
  </si>
  <si>
    <t>'Credit_2014Q2'!</t>
  </si>
  <si>
    <t>'Credit_2014Q3'!</t>
  </si>
  <si>
    <t>'Credit_2014Q4'</t>
  </si>
  <si>
    <t>'Credit_2014Q4'!</t>
  </si>
  <si>
    <t>ES</t>
  </si>
  <si>
    <t>Eversource</t>
  </si>
  <si>
    <t>2015 Q1</t>
  </si>
  <si>
    <t>2015 Q2</t>
  </si>
  <si>
    <t>Eversource Energy</t>
  </si>
  <si>
    <t>'Credit_2015Q1'!</t>
  </si>
  <si>
    <t>2015 Q3</t>
  </si>
  <si>
    <t>2015 Q4</t>
  </si>
  <si>
    <t>'Credit_2015Q2'!</t>
  </si>
  <si>
    <t>DPL Inc. *</t>
  </si>
  <si>
    <t>Energy Future Holdings Corp. *</t>
  </si>
  <si>
    <t>IPALCO Enterprises, Inc. *</t>
  </si>
  <si>
    <t>Berkshire Hathaway Energy *</t>
  </si>
  <si>
    <t>Puget Energy, Inc. *</t>
  </si>
  <si>
    <t>Reg_Percent_2014</t>
  </si>
  <si>
    <t>WEC Energy Group, Inc.</t>
  </si>
  <si>
    <t>'Credit_2015Q3'!</t>
  </si>
  <si>
    <t>'Credit_2015Q4'</t>
  </si>
  <si>
    <t>AGR</t>
  </si>
  <si>
    <t xml:space="preserve">AVANGRID, Inc. </t>
  </si>
  <si>
    <t>AVANGRID, Inc.</t>
  </si>
  <si>
    <t>'Credit_2015Q4'!</t>
  </si>
  <si>
    <t>2016 Q1</t>
  </si>
  <si>
    <t>2016 Q2</t>
  </si>
  <si>
    <t>2016 Q3</t>
  </si>
  <si>
    <t>2016 Q4</t>
  </si>
  <si>
    <t xml:space="preserve">WEC Energy Group, Inc. </t>
  </si>
  <si>
    <t>Reg_Percent_2015</t>
  </si>
  <si>
    <t>'Credit_2016Q1'!</t>
  </si>
  <si>
    <t>**CNL</t>
  </si>
  <si>
    <t>.</t>
  </si>
  <si>
    <t>'Credit_2016Q2'!</t>
  </si>
  <si>
    <t>**TE</t>
  </si>
  <si>
    <t>'Credit_2016Q3'!</t>
  </si>
  <si>
    <t>'Credit_2016Q4'</t>
  </si>
  <si>
    <t>Source:  Standard &amp; Poor's, S&amp;P Global Market Intelligence, and EEI Finance Dept.</t>
  </si>
  <si>
    <t>Sources:  Standard &amp; Poor's, S&amp;P Global Market Intelligence, and EEI Finance Dept.</t>
  </si>
  <si>
    <t>Source:  S&amp;P Global Market Intelligence and EEI Finance Dept.</t>
  </si>
  <si>
    <t>'Credit_2016Q4'!</t>
  </si>
  <si>
    <t>2017 Q1</t>
  </si>
  <si>
    <t>Cleco Corporation *</t>
  </si>
  <si>
    <t>Reg_Percent_2016</t>
  </si>
  <si>
    <t>2017 Q2</t>
  </si>
  <si>
    <t>2017 Q3</t>
  </si>
  <si>
    <t>2017 Q4</t>
  </si>
  <si>
    <t>Oncor Electric Delivery Company LLC</t>
  </si>
  <si>
    <t>U.S. Investor-Owned Electric Utility Industry</t>
  </si>
  <si>
    <t>**ONC</t>
  </si>
  <si>
    <t>'Credit_2017Q1'!</t>
  </si>
  <si>
    <t>'Credit_2017Q2'!</t>
  </si>
  <si>
    <t>Dominion Energy, Inc.</t>
  </si>
  <si>
    <t>'Credit_2017Q3'!</t>
  </si>
  <si>
    <t>'Credit_2017Q4'</t>
  </si>
  <si>
    <t>'Credit_2017Q4'!</t>
  </si>
  <si>
    <t>Evergy, Inc.</t>
  </si>
  <si>
    <t>EVRG</t>
  </si>
  <si>
    <t>Reg_Percent_2017</t>
  </si>
  <si>
    <t>2018 Q1</t>
  </si>
  <si>
    <t>'Credit_2018Q1'!</t>
  </si>
  <si>
    <t>2018 Q2</t>
  </si>
  <si>
    <t>2018 Q3</t>
  </si>
  <si>
    <t>2018 Q4</t>
  </si>
  <si>
    <t>'Credit_2018Q2'!</t>
  </si>
  <si>
    <t>'Credit_2018Q3'!</t>
  </si>
  <si>
    <t>'Credit_2018Q4'</t>
  </si>
  <si>
    <t>'Credit_2018Q4'!</t>
  </si>
  <si>
    <t>Reg_Percent_2018</t>
  </si>
  <si>
    <t>2019 Q1</t>
  </si>
  <si>
    <t>2019Q1</t>
  </si>
  <si>
    <t>2019Q2</t>
  </si>
  <si>
    <t>2019Q3</t>
  </si>
  <si>
    <t>2019Q4</t>
  </si>
  <si>
    <t>'Credit_2019Q1'!</t>
  </si>
  <si>
    <t>2019 Q2</t>
  </si>
  <si>
    <t>'Credit_2019Q2'!</t>
  </si>
  <si>
    <t>2019 Q3</t>
  </si>
  <si>
    <t>'Credit_2019Q3'!</t>
  </si>
  <si>
    <t>2019 Q4</t>
  </si>
  <si>
    <t>Reg_Percent_2019</t>
  </si>
  <si>
    <t>'Credit_2019Q4'!</t>
  </si>
  <si>
    <t>2020 Q1</t>
  </si>
  <si>
    <t>2020Q1</t>
  </si>
  <si>
    <t>2020Q2</t>
  </si>
  <si>
    <t>2020Q3</t>
  </si>
  <si>
    <t>2020Q4</t>
  </si>
  <si>
    <t>'Credit_2020Q1'</t>
  </si>
  <si>
    <t>'Credit_2019Q4'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</si>
</sst>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5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name val="Calibri"/>
      <family val="2"/>
    </font>
    <font>
      <sz val="10"/>
      <color rgb="FF000099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510">
    <xf numFmtId="0" fontId="0" fillId="0" borderId="0" xfId="0"/>
    <xf numFmtId="0" fontId="0" fillId="0" borderId="0" xfId="0" applyBorder="1"/>
    <xf numFmtId="0" fontId="3" fillId="0" borderId="0" xfId="0" applyNumberFormat="1" applyFont="1" applyFill="1" applyBorder="1" applyAlignment="1">
      <alignment horizontal="left"/>
    </xf>
    <xf numFmtId="0" fontId="3" fillId="0" borderId="0" xfId="0" applyFont="1"/>
    <xf numFmtId="0" fontId="0" fillId="0" borderId="0" xfId="0" applyFill="1" applyBorder="1"/>
    <xf numFmtId="0" fontId="3" fillId="0" borderId="0" xfId="0" quotePrefix="1" applyNumberFormat="1" applyFont="1" applyBorder="1" applyAlignment="1">
      <alignment horizontal="left"/>
    </xf>
    <xf numFmtId="0" fontId="0" fillId="0" borderId="0" xfId="0" applyFill="1"/>
    <xf numFmtId="0" fontId="5" fillId="0" borderId="0" xfId="0" quotePrefix="1" applyNumberFormat="1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9" fontId="0" fillId="0" borderId="0" xfId="4" applyFont="1" applyBorder="1"/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9" fontId="0" fillId="0" borderId="0" xfId="4" applyFont="1" applyFill="1" applyBorder="1"/>
    <xf numFmtId="0" fontId="9" fillId="0" borderId="0" xfId="0" applyFont="1" applyFill="1" applyBorder="1"/>
    <xf numFmtId="0" fontId="0" fillId="0" borderId="0" xfId="0" applyBorder="1" applyAlignment="1"/>
    <xf numFmtId="0" fontId="3" fillId="0" borderId="0" xfId="0" applyFont="1" applyAlignment="1">
      <alignment horizontal="right"/>
    </xf>
    <xf numFmtId="0" fontId="6" fillId="0" borderId="0" xfId="0" applyFont="1" applyFill="1" applyBorder="1"/>
    <xf numFmtId="0" fontId="12" fillId="0" borderId="0" xfId="0" applyFont="1" applyBorder="1"/>
    <xf numFmtId="0" fontId="2" fillId="2" borderId="0" xfId="0" applyFont="1" applyFill="1" applyBorder="1" applyAlignment="1">
      <alignment horizontal="center"/>
    </xf>
    <xf numFmtId="0" fontId="0" fillId="2" borderId="0" xfId="0" applyFill="1" applyBorder="1"/>
    <xf numFmtId="0" fontId="5" fillId="0" borderId="0" xfId="0" quotePrefix="1" applyNumberFormat="1" applyFont="1" applyFill="1" applyBorder="1" applyAlignment="1">
      <alignment horizontal="left"/>
    </xf>
    <xf numFmtId="0" fontId="3" fillId="0" borderId="0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NumberFormat="1" applyFont="1" applyFill="1" applyBorder="1" applyAlignment="1">
      <alignment horizontal="left"/>
    </xf>
    <xf numFmtId="0" fontId="3" fillId="0" borderId="0" xfId="0" quotePrefix="1" applyNumberFormat="1" applyFont="1" applyFill="1" applyBorder="1" applyAlignment="1">
      <alignment horizontal="left"/>
    </xf>
    <xf numFmtId="9" fontId="0" fillId="0" borderId="0" xfId="4" applyNumberFormat="1" applyFont="1" applyFill="1" applyBorder="1"/>
    <xf numFmtId="0" fontId="5" fillId="2" borderId="0" xfId="0" quotePrefix="1" applyNumberFormat="1" applyFont="1" applyFill="1" applyBorder="1" applyAlignment="1">
      <alignment horizontal="left"/>
    </xf>
    <xf numFmtId="0" fontId="3" fillId="2" borderId="0" xfId="0" quotePrefix="1" applyNumberFormat="1" applyFont="1" applyFill="1" applyBorder="1" applyAlignment="1">
      <alignment horizontal="left"/>
    </xf>
    <xf numFmtId="0" fontId="3" fillId="2" borderId="0" xfId="0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left"/>
    </xf>
    <xf numFmtId="0" fontId="3" fillId="0" borderId="0" xfId="0" applyFont="1" applyBorder="1"/>
    <xf numFmtId="0" fontId="3" fillId="2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2" fontId="4" fillId="0" borderId="0" xfId="0" applyNumberFormat="1" applyFont="1" applyFill="1" applyBorder="1" applyAlignment="1">
      <alignment horizontal="center"/>
    </xf>
    <xf numFmtId="0" fontId="2" fillId="2" borderId="0" xfId="0" quotePrefix="1" applyFont="1" applyFill="1" applyBorder="1" applyAlignment="1">
      <alignment horizontal="left"/>
    </xf>
    <xf numFmtId="0" fontId="4" fillId="2" borderId="0" xfId="0" applyNumberFormat="1" applyFont="1" applyFill="1" applyBorder="1" applyAlignment="1">
      <alignment horizontal="left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Font="1" applyFill="1" applyBorder="1"/>
    <xf numFmtId="0" fontId="3" fillId="0" borderId="0" xfId="0" applyFont="1" applyFill="1" applyBorder="1"/>
    <xf numFmtId="0" fontId="9" fillId="2" borderId="0" xfId="0" applyFont="1" applyFill="1" applyBorder="1"/>
    <xf numFmtId="0" fontId="3" fillId="2" borderId="0" xfId="0" applyFont="1" applyFill="1" applyBorder="1"/>
    <xf numFmtId="0" fontId="9" fillId="0" borderId="0" xfId="0" quotePrefix="1" applyNumberFormat="1" applyFont="1" applyFill="1" applyBorder="1" applyAlignment="1">
      <alignment horizontal="left"/>
    </xf>
    <xf numFmtId="0" fontId="4" fillId="0" borderId="0" xfId="0" applyFont="1" applyBorder="1"/>
    <xf numFmtId="2" fontId="4" fillId="0" borderId="0" xfId="0" applyNumberFormat="1" applyFont="1" applyBorder="1" applyAlignment="1">
      <alignment horizontal="center"/>
    </xf>
    <xf numFmtId="0" fontId="3" fillId="0" borderId="0" xfId="0" applyFont="1" applyFill="1"/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8" fillId="0" borderId="0" xfId="0" applyFont="1" applyFill="1" applyAlignment="1">
      <alignment horizontal="right"/>
    </xf>
    <xf numFmtId="0" fontId="4" fillId="0" borderId="0" xfId="0" applyFont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10" fillId="0" borderId="0" xfId="0" applyFont="1" applyBorder="1"/>
    <xf numFmtId="0" fontId="13" fillId="0" borderId="0" xfId="0" applyFont="1" applyBorder="1"/>
    <xf numFmtId="0" fontId="14" fillId="0" borderId="0" xfId="0" applyFont="1" applyBorder="1" applyAlignment="1">
      <alignment horizontal="center"/>
    </xf>
    <xf numFmtId="0" fontId="13" fillId="0" borderId="0" xfId="0" applyFont="1" applyFill="1" applyBorder="1"/>
    <xf numFmtId="0" fontId="10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5" fillId="0" borderId="0" xfId="0" applyFont="1" applyBorder="1"/>
    <xf numFmtId="0" fontId="10" fillId="0" borderId="0" xfId="0" applyFont="1" applyBorder="1" applyAlignment="1">
      <alignment horizontal="right"/>
    </xf>
    <xf numFmtId="0" fontId="10" fillId="0" borderId="0" xfId="0" applyFont="1" applyFill="1" applyBorder="1" applyAlignment="1">
      <alignment horizontal="right"/>
    </xf>
    <xf numFmtId="0" fontId="10" fillId="0" borderId="0" xfId="0" applyFont="1" applyFill="1" applyBorder="1"/>
    <xf numFmtId="0" fontId="15" fillId="0" borderId="0" xfId="0" applyFont="1" applyFill="1" applyBorder="1"/>
    <xf numFmtId="0" fontId="7" fillId="0" borderId="0" xfId="0" applyFont="1" applyBorder="1" applyAlignment="1">
      <alignment horizontal="left"/>
    </xf>
    <xf numFmtId="0" fontId="7" fillId="0" borderId="0" xfId="0" applyFont="1" applyBorder="1"/>
    <xf numFmtId="0" fontId="7" fillId="0" borderId="0" xfId="0" applyFont="1" applyFill="1" applyBorder="1"/>
    <xf numFmtId="164" fontId="13" fillId="0" borderId="0" xfId="4" applyNumberFormat="1" applyFont="1" applyFill="1" applyBorder="1"/>
    <xf numFmtId="0" fontId="7" fillId="0" borderId="0" xfId="0" applyFont="1" applyFill="1" applyBorder="1" applyAlignment="1">
      <alignment horizontal="left"/>
    </xf>
    <xf numFmtId="0" fontId="9" fillId="0" borderId="0" xfId="0" applyFont="1" applyBorder="1"/>
    <xf numFmtId="0" fontId="16" fillId="0" borderId="0" xfId="0" applyFont="1"/>
    <xf numFmtId="0" fontId="25" fillId="0" borderId="0" xfId="0" applyFont="1" applyBorder="1" applyAlignment="1">
      <alignment horizontal="left"/>
    </xf>
    <xf numFmtId="0" fontId="26" fillId="2" borderId="0" xfId="0" quotePrefix="1" applyFont="1" applyFill="1" applyBorder="1" applyAlignment="1">
      <alignment horizontal="left"/>
    </xf>
    <xf numFmtId="0" fontId="27" fillId="2" borderId="0" xfId="0" applyFont="1" applyFill="1" applyBorder="1" applyAlignment="1">
      <alignment horizontal="center"/>
    </xf>
    <xf numFmtId="0" fontId="28" fillId="0" borderId="0" xfId="0" applyFont="1" applyBorder="1"/>
    <xf numFmtId="0" fontId="26" fillId="0" borderId="0" xfId="0" applyNumberFormat="1" applyFont="1" applyBorder="1" applyAlignment="1">
      <alignment horizontal="left"/>
    </xf>
    <xf numFmtId="2" fontId="26" fillId="0" borderId="0" xfId="0" applyNumberFormat="1" applyFont="1" applyFill="1" applyBorder="1" applyAlignment="1">
      <alignment horizontal="center"/>
    </xf>
    <xf numFmtId="0" fontId="26" fillId="0" borderId="0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horizontal="left"/>
    </xf>
    <xf numFmtId="0" fontId="25" fillId="0" borderId="0" xfId="0" applyNumberFormat="1" applyFont="1" applyBorder="1" applyAlignment="1">
      <alignment horizontal="center"/>
    </xf>
    <xf numFmtId="0" fontId="25" fillId="5" borderId="0" xfId="0" applyNumberFormat="1" applyFont="1" applyFill="1" applyBorder="1" applyAlignment="1">
      <alignment horizontal="left"/>
    </xf>
    <xf numFmtId="0" fontId="25" fillId="5" borderId="0" xfId="0" applyNumberFormat="1" applyFont="1" applyFill="1" applyBorder="1" applyAlignment="1">
      <alignment horizontal="center"/>
    </xf>
    <xf numFmtId="0" fontId="25" fillId="0" borderId="0" xfId="0" applyNumberFormat="1" applyFont="1" applyFill="1" applyBorder="1" applyAlignment="1">
      <alignment horizontal="left"/>
    </xf>
    <xf numFmtId="0" fontId="25" fillId="0" borderId="0" xfId="0" applyNumberFormat="1" applyFont="1" applyFill="1" applyBorder="1" applyAlignment="1">
      <alignment horizontal="centerContinuous"/>
    </xf>
    <xf numFmtId="0" fontId="29" fillId="0" borderId="0" xfId="0" applyFont="1" applyBorder="1"/>
    <xf numFmtId="0" fontId="25" fillId="0" borderId="0" xfId="0" applyFont="1" applyBorder="1"/>
    <xf numFmtId="9" fontId="25" fillId="0" borderId="0" xfId="4" applyNumberFormat="1" applyFont="1" applyBorder="1"/>
    <xf numFmtId="0" fontId="26" fillId="0" borderId="0" xfId="0" applyFont="1" applyBorder="1" applyAlignment="1">
      <alignment horizontal="left"/>
    </xf>
    <xf numFmtId="0" fontId="26" fillId="0" borderId="0" xfId="0" applyFont="1" applyBorder="1"/>
    <xf numFmtId="9" fontId="26" fillId="0" borderId="0" xfId="4" applyFont="1" applyBorder="1"/>
    <xf numFmtId="0" fontId="25" fillId="0" borderId="1" xfId="0" applyNumberFormat="1" applyFont="1" applyBorder="1" applyAlignment="1">
      <alignment horizontal="left"/>
    </xf>
    <xf numFmtId="0" fontId="25" fillId="0" borderId="1" xfId="0" applyNumberFormat="1" applyFont="1" applyFill="1" applyBorder="1" applyAlignment="1">
      <alignment horizontal="centerContinuous"/>
    </xf>
    <xf numFmtId="0" fontId="25" fillId="0" borderId="1" xfId="0" applyFont="1" applyBorder="1" applyAlignment="1">
      <alignment horizontal="left"/>
    </xf>
    <xf numFmtId="0" fontId="25" fillId="0" borderId="1" xfId="0" applyFont="1" applyBorder="1"/>
    <xf numFmtId="9" fontId="25" fillId="0" borderId="1" xfId="4" applyNumberFormat="1" applyFont="1" applyBorder="1"/>
    <xf numFmtId="0" fontId="25" fillId="0" borderId="1" xfId="0" applyFont="1" applyBorder="1" applyAlignment="1">
      <alignment horizontal="center"/>
    </xf>
    <xf numFmtId="0" fontId="25" fillId="0" borderId="0" xfId="0" applyFont="1"/>
    <xf numFmtId="9" fontId="25" fillId="0" borderId="0" xfId="4" applyFont="1"/>
    <xf numFmtId="0" fontId="25" fillId="0" borderId="0" xfId="0" applyFont="1" applyFill="1"/>
    <xf numFmtId="9" fontId="25" fillId="0" borderId="0" xfId="4" applyFont="1" applyFill="1"/>
    <xf numFmtId="9" fontId="25" fillId="0" borderId="0" xfId="4" applyFont="1" applyBorder="1" applyAlignment="1">
      <alignment horizontal="center"/>
    </xf>
    <xf numFmtId="9" fontId="25" fillId="5" borderId="0" xfId="4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Continuous"/>
    </xf>
    <xf numFmtId="9" fontId="25" fillId="0" borderId="1" xfId="4" applyFont="1" applyFill="1" applyBorder="1" applyAlignment="1">
      <alignment horizontal="centerContinuous"/>
    </xf>
    <xf numFmtId="14" fontId="27" fillId="2" borderId="0" xfId="0" applyNumberFormat="1" applyFont="1" applyFill="1" applyBorder="1" applyAlignment="1">
      <alignment horizontal="center"/>
    </xf>
    <xf numFmtId="14" fontId="27" fillId="0" borderId="0" xfId="0" applyNumberFormat="1" applyFont="1" applyFill="1" applyBorder="1" applyAlignment="1">
      <alignment horizontal="center"/>
    </xf>
    <xf numFmtId="164" fontId="0" fillId="0" borderId="0" xfId="0" applyNumberFormat="1" applyBorder="1"/>
    <xf numFmtId="0" fontId="26" fillId="6" borderId="0" xfId="0" applyFont="1" applyFill="1" applyBorder="1" applyAlignment="1">
      <alignment horizontal="centerContinuous"/>
    </xf>
    <xf numFmtId="0" fontId="6" fillId="6" borderId="0" xfId="0" applyFont="1" applyFill="1" applyBorder="1" applyAlignment="1">
      <alignment horizontal="centerContinuous"/>
    </xf>
    <xf numFmtId="0" fontId="25" fillId="0" borderId="0" xfId="0" applyNumberFormat="1" applyFont="1" applyFill="1" applyBorder="1" applyAlignment="1">
      <alignment horizontal="center"/>
    </xf>
    <xf numFmtId="9" fontId="25" fillId="0" borderId="0" xfId="4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left"/>
    </xf>
    <xf numFmtId="0" fontId="25" fillId="0" borderId="0" xfId="0" applyFont="1" applyFill="1" applyBorder="1" applyAlignment="1">
      <alignment horizontal="left"/>
    </xf>
    <xf numFmtId="10" fontId="25" fillId="0" borderId="0" xfId="4" applyNumberFormat="1" applyFont="1" applyFill="1" applyBorder="1" applyAlignment="1">
      <alignment horizontal="center"/>
    </xf>
    <xf numFmtId="10" fontId="25" fillId="0" borderId="0" xfId="4" applyNumberFormat="1" applyFont="1" applyFill="1" applyBorder="1" applyAlignment="1">
      <alignment horizontal="centerContinuous"/>
    </xf>
    <xf numFmtId="10" fontId="25" fillId="0" borderId="1" xfId="4" applyNumberFormat="1" applyFont="1" applyFill="1" applyBorder="1" applyAlignment="1">
      <alignment horizontal="centerContinuous"/>
    </xf>
    <xf numFmtId="0" fontId="25" fillId="0" borderId="0" xfId="0" applyFont="1" applyFill="1" applyBorder="1"/>
    <xf numFmtId="0" fontId="25" fillId="0" borderId="0" xfId="0" applyFont="1" applyBorder="1" applyAlignment="1">
      <alignment horizontal="center"/>
    </xf>
    <xf numFmtId="0" fontId="30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165" fontId="0" fillId="0" borderId="0" xfId="0" applyNumberFormat="1" applyFill="1" applyBorder="1"/>
    <xf numFmtId="0" fontId="31" fillId="4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29" fillId="0" borderId="0" xfId="0" applyFont="1" applyFill="1" applyBorder="1"/>
    <xf numFmtId="0" fontId="31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/>
    </xf>
    <xf numFmtId="0" fontId="20" fillId="0" borderId="0" xfId="0" applyFont="1" applyBorder="1"/>
    <xf numFmtId="0" fontId="34" fillId="0" borderId="0" xfId="0" applyFont="1" applyBorder="1" applyAlignment="1">
      <alignment horizontal="center"/>
    </xf>
    <xf numFmtId="0" fontId="35" fillId="0" borderId="0" xfId="0" applyFont="1" applyBorder="1" applyAlignment="1">
      <alignment horizontal="center"/>
    </xf>
    <xf numFmtId="0" fontId="36" fillId="0" borderId="0" xfId="0" applyNumberFormat="1" applyFont="1" applyFill="1" applyBorder="1" applyAlignment="1">
      <alignment horizontal="left"/>
    </xf>
    <xf numFmtId="0" fontId="36" fillId="5" borderId="0" xfId="0" applyNumberFormat="1" applyFont="1" applyFill="1" applyBorder="1" applyAlignment="1">
      <alignment horizontal="left"/>
    </xf>
    <xf numFmtId="0" fontId="29" fillId="0" borderId="0" xfId="0" applyFont="1" applyBorder="1" applyAlignment="1">
      <alignment horizontal="left" indent="1"/>
    </xf>
    <xf numFmtId="0" fontId="0" fillId="0" borderId="0" xfId="0" applyBorder="1" applyAlignment="1">
      <alignment horizontal="left" indent="1"/>
    </xf>
    <xf numFmtId="0" fontId="0" fillId="0" borderId="0" xfId="0" applyFill="1" applyBorder="1" applyAlignment="1">
      <alignment horizontal="left" indent="1"/>
    </xf>
    <xf numFmtId="0" fontId="9" fillId="0" borderId="0" xfId="0" applyFont="1" applyFill="1" applyBorder="1" applyAlignment="1">
      <alignment horizontal="left" indent="1"/>
    </xf>
    <xf numFmtId="164" fontId="0" fillId="0" borderId="0" xfId="0" applyNumberFormat="1" applyBorder="1" applyAlignment="1">
      <alignment horizontal="left" indent="1"/>
    </xf>
    <xf numFmtId="0" fontId="25" fillId="0" borderId="2" xfId="0" applyNumberFormat="1" applyFont="1" applyBorder="1" applyAlignment="1">
      <alignment horizontal="left"/>
    </xf>
    <xf numFmtId="0" fontId="25" fillId="0" borderId="2" xfId="0" applyNumberFormat="1" applyFont="1" applyBorder="1" applyAlignment="1">
      <alignment horizontal="center"/>
    </xf>
    <xf numFmtId="9" fontId="25" fillId="0" borderId="2" xfId="4" applyFont="1" applyBorder="1" applyAlignment="1">
      <alignment horizontal="center"/>
    </xf>
    <xf numFmtId="0" fontId="37" fillId="0" borderId="0" xfId="1" applyFont="1" applyBorder="1" applyAlignment="1" applyProtection="1"/>
    <xf numFmtId="166" fontId="25" fillId="0" borderId="0" xfId="0" applyNumberFormat="1" applyFont="1" applyFill="1"/>
    <xf numFmtId="10" fontId="25" fillId="0" borderId="0" xfId="4" applyNumberFormat="1" applyFont="1"/>
    <xf numFmtId="166" fontId="25" fillId="0" borderId="0" xfId="0" applyNumberFormat="1" applyFont="1" applyFill="1" applyBorder="1"/>
    <xf numFmtId="0" fontId="25" fillId="8" borderId="0" xfId="0" applyNumberFormat="1" applyFont="1" applyFill="1" applyBorder="1" applyAlignment="1">
      <alignment horizontal="left"/>
    </xf>
    <xf numFmtId="0" fontId="25" fillId="8" borderId="0" xfId="0" applyNumberFormat="1" applyFont="1" applyFill="1" applyBorder="1" applyAlignment="1">
      <alignment horizontal="center"/>
    </xf>
    <xf numFmtId="9" fontId="25" fillId="8" borderId="0" xfId="4" applyFont="1" applyFill="1" applyBorder="1" applyAlignment="1">
      <alignment horizontal="center"/>
    </xf>
    <xf numFmtId="0" fontId="25" fillId="9" borderId="2" xfId="0" applyNumberFormat="1" applyFont="1" applyFill="1" applyBorder="1" applyAlignment="1">
      <alignment horizontal="left"/>
    </xf>
    <xf numFmtId="0" fontId="25" fillId="9" borderId="2" xfId="0" applyNumberFormat="1" applyFont="1" applyFill="1" applyBorder="1" applyAlignment="1">
      <alignment horizontal="center"/>
    </xf>
    <xf numFmtId="9" fontId="25" fillId="9" borderId="2" xfId="4" applyFont="1" applyFill="1" applyBorder="1" applyAlignment="1">
      <alignment horizontal="center"/>
    </xf>
    <xf numFmtId="0" fontId="26" fillId="0" borderId="9" xfId="0" quotePrefix="1" applyFont="1" applyFill="1" applyBorder="1" applyAlignment="1">
      <alignment horizontal="left"/>
    </xf>
    <xf numFmtId="0" fontId="27" fillId="0" borderId="10" xfId="0" applyFont="1" applyFill="1" applyBorder="1" applyAlignment="1">
      <alignment horizontal="center"/>
    </xf>
    <xf numFmtId="0" fontId="0" fillId="0" borderId="10" xfId="0" applyFill="1" applyBorder="1"/>
    <xf numFmtId="14" fontId="27" fillId="0" borderId="11" xfId="0" applyNumberFormat="1" applyFont="1" applyFill="1" applyBorder="1" applyAlignment="1">
      <alignment horizontal="center"/>
    </xf>
    <xf numFmtId="0" fontId="25" fillId="5" borderId="2" xfId="0" applyNumberFormat="1" applyFont="1" applyFill="1" applyBorder="1" applyAlignment="1">
      <alignment horizontal="left"/>
    </xf>
    <xf numFmtId="0" fontId="25" fillId="9" borderId="0" xfId="0" applyNumberFormat="1" applyFont="1" applyFill="1" applyBorder="1" applyAlignment="1">
      <alignment horizontal="left"/>
    </xf>
    <xf numFmtId="0" fontId="25" fillId="5" borderId="2" xfId="0" applyNumberFormat="1" applyFont="1" applyFill="1" applyBorder="1" applyAlignment="1">
      <alignment horizontal="center"/>
    </xf>
    <xf numFmtId="0" fontId="25" fillId="9" borderId="0" xfId="0" applyNumberFormat="1" applyFont="1" applyFill="1" applyBorder="1" applyAlignment="1">
      <alignment horizontal="center"/>
    </xf>
    <xf numFmtId="0" fontId="25" fillId="0" borderId="1" xfId="0" applyNumberFormat="1" applyFont="1" applyFill="1" applyBorder="1" applyAlignment="1">
      <alignment horizontal="center"/>
    </xf>
    <xf numFmtId="9" fontId="25" fillId="5" borderId="2" xfId="4" applyFont="1" applyFill="1" applyBorder="1" applyAlignment="1">
      <alignment horizontal="center"/>
    </xf>
    <xf numFmtId="9" fontId="25" fillId="9" borderId="0" xfId="4" applyFont="1" applyFill="1" applyBorder="1" applyAlignment="1">
      <alignment horizontal="center"/>
    </xf>
    <xf numFmtId="9" fontId="25" fillId="0" borderId="1" xfId="4" applyFont="1" applyFill="1" applyBorder="1" applyAlignment="1">
      <alignment horizontal="center"/>
    </xf>
    <xf numFmtId="0" fontId="25" fillId="0" borderId="2" xfId="0" applyNumberFormat="1" applyFont="1" applyFill="1" applyBorder="1" applyAlignment="1">
      <alignment horizontal="left"/>
    </xf>
    <xf numFmtId="0" fontId="25" fillId="0" borderId="2" xfId="0" applyNumberFormat="1" applyFont="1" applyFill="1" applyBorder="1" applyAlignment="1">
      <alignment horizontal="center"/>
    </xf>
    <xf numFmtId="9" fontId="25" fillId="0" borderId="2" xfId="4" applyFont="1" applyFill="1" applyBorder="1" applyAlignment="1">
      <alignment horizontal="center"/>
    </xf>
    <xf numFmtId="0" fontId="25" fillId="0" borderId="12" xfId="0" applyNumberFormat="1" applyFont="1" applyFill="1" applyBorder="1" applyAlignment="1">
      <alignment horizontal="left"/>
    </xf>
    <xf numFmtId="0" fontId="25" fillId="0" borderId="12" xfId="0" applyNumberFormat="1" applyFont="1" applyFill="1" applyBorder="1" applyAlignment="1">
      <alignment horizontal="center"/>
    </xf>
    <xf numFmtId="9" fontId="25" fillId="0" borderId="12" xfId="4" applyFont="1" applyFill="1" applyBorder="1" applyAlignment="1">
      <alignment horizontal="center"/>
    </xf>
    <xf numFmtId="0" fontId="38" fillId="10" borderId="0" xfId="0" applyNumberFormat="1" applyFont="1" applyFill="1" applyBorder="1" applyAlignment="1">
      <alignment horizontal="left"/>
    </xf>
    <xf numFmtId="0" fontId="38" fillId="10" borderId="0" xfId="0" applyNumberFormat="1" applyFont="1" applyFill="1" applyBorder="1" applyAlignment="1">
      <alignment horizontal="center"/>
    </xf>
    <xf numFmtId="9" fontId="38" fillId="10" borderId="0" xfId="4" applyFont="1" applyFill="1" applyBorder="1" applyAlignment="1">
      <alignment horizontal="center"/>
    </xf>
    <xf numFmtId="0" fontId="38" fillId="11" borderId="0" xfId="0" applyNumberFormat="1" applyFont="1" applyFill="1" applyBorder="1" applyAlignment="1">
      <alignment horizontal="left"/>
    </xf>
    <xf numFmtId="0" fontId="38" fillId="11" borderId="0" xfId="0" applyNumberFormat="1" applyFont="1" applyFill="1" applyBorder="1" applyAlignment="1">
      <alignment horizontal="center"/>
    </xf>
    <xf numFmtId="9" fontId="38" fillId="11" borderId="0" xfId="4" applyFont="1" applyFill="1" applyBorder="1" applyAlignment="1">
      <alignment horizontal="center"/>
    </xf>
    <xf numFmtId="0" fontId="1" fillId="0" borderId="0" xfId="0" applyFont="1"/>
    <xf numFmtId="0" fontId="6" fillId="0" borderId="0" xfId="0" applyFont="1" applyBorder="1"/>
    <xf numFmtId="0" fontId="1" fillId="0" borderId="0" xfId="0" applyFont="1" applyBorder="1" applyAlignment="1">
      <alignment horizontal="right"/>
    </xf>
    <xf numFmtId="0" fontId="6" fillId="0" borderId="0" xfId="0" applyFont="1" applyFill="1" applyAlignment="1">
      <alignment horizontal="right"/>
    </xf>
    <xf numFmtId="0" fontId="1" fillId="0" borderId="0" xfId="0" applyFont="1" applyFill="1" applyAlignment="1">
      <alignment horizontal="right"/>
    </xf>
    <xf numFmtId="0" fontId="1" fillId="0" borderId="0" xfId="0" applyFont="1" applyFill="1" applyBorder="1" applyAlignment="1">
      <alignment horizontal="right"/>
    </xf>
    <xf numFmtId="0" fontId="1" fillId="0" borderId="0" xfId="0" applyFont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0" borderId="4" xfId="0" applyFont="1" applyBorder="1"/>
    <xf numFmtId="0" fontId="39" fillId="0" borderId="5" xfId="0" applyFont="1" applyBorder="1" applyAlignment="1">
      <alignment horizontal="right"/>
    </xf>
    <xf numFmtId="0" fontId="39" fillId="0" borderId="5" xfId="0" applyFont="1" applyFill="1" applyBorder="1" applyAlignment="1">
      <alignment horizontal="right"/>
    </xf>
    <xf numFmtId="0" fontId="39" fillId="0" borderId="5" xfId="0" applyFont="1" applyBorder="1"/>
    <xf numFmtId="0" fontId="0" fillId="0" borderId="5" xfId="0" applyBorder="1"/>
    <xf numFmtId="0" fontId="6" fillId="0" borderId="6" xfId="0" applyFont="1" applyBorder="1"/>
    <xf numFmtId="0" fontId="39" fillId="0" borderId="3" xfId="0" applyFont="1" applyBorder="1" applyAlignment="1">
      <alignment horizontal="right"/>
    </xf>
    <xf numFmtId="0" fontId="39" fillId="0" borderId="3" xfId="0" applyFont="1" applyFill="1" applyBorder="1" applyAlignment="1">
      <alignment horizontal="right"/>
    </xf>
    <xf numFmtId="0" fontId="39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6" fillId="0" borderId="5" xfId="0" applyFont="1" applyFill="1" applyBorder="1" applyAlignment="1">
      <alignment horizontal="right"/>
    </xf>
    <xf numFmtId="0" fontId="1" fillId="0" borderId="5" xfId="0" applyFont="1" applyFill="1" applyBorder="1" applyAlignment="1">
      <alignment horizontal="right"/>
    </xf>
    <xf numFmtId="0" fontId="1" fillId="0" borderId="5" xfId="0" applyFont="1" applyBorder="1"/>
    <xf numFmtId="0" fontId="6" fillId="0" borderId="7" xfId="0" applyFont="1" applyBorder="1"/>
    <xf numFmtId="0" fontId="6" fillId="0" borderId="8" xfId="0" applyFont="1" applyFill="1" applyBorder="1" applyAlignment="1">
      <alignment horizontal="right"/>
    </xf>
    <xf numFmtId="0" fontId="6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6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32" fillId="4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0" fontId="40" fillId="0" borderId="0" xfId="0" applyFont="1"/>
    <xf numFmtId="9" fontId="13" fillId="0" borderId="0" xfId="0" applyNumberFormat="1" applyFont="1" applyFill="1" applyBorder="1"/>
    <xf numFmtId="9" fontId="41" fillId="0" borderId="0" xfId="0" applyNumberFormat="1" applyFont="1" applyFill="1" applyBorder="1"/>
    <xf numFmtId="0" fontId="44" fillId="0" borderId="0" xfId="0" quotePrefix="1" applyFont="1" applyBorder="1" applyAlignment="1">
      <alignment horizontal="left" vertical="center"/>
    </xf>
    <xf numFmtId="0" fontId="38" fillId="10" borderId="2" xfId="0" applyNumberFormat="1" applyFont="1" applyFill="1" applyBorder="1" applyAlignment="1">
      <alignment horizontal="left"/>
    </xf>
    <xf numFmtId="0" fontId="38" fillId="10" borderId="2" xfId="0" applyNumberFormat="1" applyFont="1" applyFill="1" applyBorder="1" applyAlignment="1">
      <alignment horizontal="center"/>
    </xf>
    <xf numFmtId="9" fontId="38" fillId="10" borderId="2" xfId="4" applyFont="1" applyFill="1" applyBorder="1" applyAlignment="1">
      <alignment horizontal="center"/>
    </xf>
    <xf numFmtId="0" fontId="25" fillId="0" borderId="0" xfId="6" applyFont="1" applyAlignment="1">
      <alignment vertical="center"/>
    </xf>
    <xf numFmtId="0" fontId="28" fillId="0" borderId="0" xfId="6" applyFont="1" applyBorder="1" applyAlignment="1">
      <alignment vertical="center"/>
    </xf>
    <xf numFmtId="0" fontId="25" fillId="0" borderId="0" xfId="6" applyFont="1" applyAlignment="1">
      <alignment horizontal="center" vertical="center"/>
    </xf>
    <xf numFmtId="0" fontId="25" fillId="0" borderId="0" xfId="6" applyFont="1" applyBorder="1" applyAlignment="1">
      <alignment horizontal="center" vertical="center"/>
    </xf>
    <xf numFmtId="0" fontId="25" fillId="0" borderId="0" xfId="6" applyFont="1" applyBorder="1" applyAlignment="1">
      <alignment vertical="center"/>
    </xf>
    <xf numFmtId="0" fontId="25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vertical="center"/>
    </xf>
    <xf numFmtId="0" fontId="26" fillId="14" borderId="5" xfId="6" applyFont="1" applyFill="1" applyBorder="1" applyAlignment="1">
      <alignment horizontal="center" vertical="center"/>
    </xf>
    <xf numFmtId="0" fontId="26" fillId="14" borderId="14" xfId="6" applyFont="1" applyFill="1" applyBorder="1" applyAlignment="1">
      <alignment horizontal="center" vertical="center" wrapText="1"/>
    </xf>
    <xf numFmtId="0" fontId="25" fillId="0" borderId="0" xfId="6" applyFont="1" applyFill="1" applyBorder="1" applyAlignment="1">
      <alignment vertical="center"/>
    </xf>
    <xf numFmtId="0" fontId="25" fillId="0" borderId="0" xfId="6" applyFont="1" applyFill="1" applyBorder="1" applyAlignment="1">
      <alignment horizontal="center" vertical="center"/>
    </xf>
    <xf numFmtId="4" fontId="25" fillId="0" borderId="15" xfId="6" applyNumberFormat="1" applyFont="1" applyBorder="1" applyAlignment="1">
      <alignment horizontal="center" vertical="center"/>
    </xf>
    <xf numFmtId="0" fontId="25" fillId="0" borderId="13" xfId="6" applyFont="1" applyBorder="1" applyAlignment="1">
      <alignment vertical="center"/>
    </xf>
    <xf numFmtId="0" fontId="25" fillId="0" borderId="13" xfId="6" applyFont="1" applyBorder="1" applyAlignment="1">
      <alignment horizontal="center" vertical="center"/>
    </xf>
    <xf numFmtId="0" fontId="25" fillId="0" borderId="13" xfId="6" applyFont="1" applyFill="1" applyBorder="1" applyAlignment="1">
      <alignment vertical="center"/>
    </xf>
    <xf numFmtId="0" fontId="46" fillId="0" borderId="13" xfId="6" applyFont="1" applyFill="1" applyBorder="1" applyAlignment="1">
      <alignment horizontal="center" vertical="center"/>
    </xf>
    <xf numFmtId="4" fontId="25" fillId="0" borderId="16" xfId="6" applyNumberFormat="1" applyFont="1" applyBorder="1" applyAlignment="1">
      <alignment horizontal="center" vertical="center"/>
    </xf>
    <xf numFmtId="14" fontId="45" fillId="0" borderId="0" xfId="6" applyNumberFormat="1" applyFont="1" applyBorder="1" applyAlignment="1">
      <alignment horizontal="center" vertical="center"/>
    </xf>
    <xf numFmtId="0" fontId="44" fillId="0" borderId="0" xfId="0" quotePrefix="1" applyFont="1" applyBorder="1" applyAlignment="1">
      <alignment horizontal="right" vertical="center"/>
    </xf>
    <xf numFmtId="0" fontId="2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43" fillId="0" borderId="0" xfId="0" applyFont="1" applyBorder="1" applyAlignment="1">
      <alignment vertical="center"/>
    </xf>
    <xf numFmtId="0" fontId="0" fillId="0" borderId="0" xfId="0" applyBorder="1" applyAlignment="1">
      <alignment horizontal="left" vertical="center"/>
    </xf>
    <xf numFmtId="0" fontId="0" fillId="0" borderId="0" xfId="0" applyBorder="1" applyAlignment="1">
      <alignment horizontal="right" vertical="center"/>
    </xf>
    <xf numFmtId="0" fontId="43" fillId="0" borderId="0" xfId="0" applyFont="1" applyBorder="1" applyAlignment="1">
      <alignment horizontal="center" vertical="center"/>
    </xf>
    <xf numFmtId="14" fontId="27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2" fontId="33" fillId="0" borderId="0" xfId="0" applyNumberFormat="1" applyFont="1" applyFill="1" applyBorder="1" applyAlignment="1">
      <alignment horizontal="center" vertical="center"/>
    </xf>
    <xf numFmtId="0" fontId="44" fillId="0" borderId="0" xfId="0" quotePrefix="1" applyFont="1" applyBorder="1" applyAlignment="1">
      <alignment horizontal="center" vertical="center"/>
    </xf>
    <xf numFmtId="0" fontId="51" fillId="0" borderId="0" xfId="0" applyNumberFormat="1" applyFont="1" applyFill="1" applyBorder="1" applyAlignment="1">
      <alignment horizontal="left" vertical="center"/>
    </xf>
    <xf numFmtId="0" fontId="51" fillId="0" borderId="0" xfId="0" applyNumberFormat="1" applyFont="1" applyFill="1" applyBorder="1" applyAlignment="1">
      <alignment horizontal="center" vertical="center"/>
    </xf>
    <xf numFmtId="9" fontId="25" fillId="0" borderId="0" xfId="4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48" fillId="0" borderId="0" xfId="0" quotePrefix="1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9" fontId="0" fillId="0" borderId="0" xfId="0" applyNumberForma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left" vertical="center"/>
    </xf>
    <xf numFmtId="0" fontId="51" fillId="0" borderId="2" xfId="0" applyNumberFormat="1" applyFont="1" applyFill="1" applyBorder="1" applyAlignment="1">
      <alignment horizontal="center" vertical="center"/>
    </xf>
    <xf numFmtId="9" fontId="25" fillId="0" borderId="2" xfId="4" applyFont="1" applyFill="1" applyBorder="1" applyAlignment="1">
      <alignment horizontal="center" vertical="center"/>
    </xf>
    <xf numFmtId="0" fontId="25" fillId="0" borderId="0" xfId="0" applyNumberFormat="1" applyFont="1" applyFill="1" applyBorder="1" applyAlignment="1">
      <alignment horizontal="left" vertical="center"/>
    </xf>
    <xf numFmtId="0" fontId="25" fillId="0" borderId="0" xfId="0" applyNumberFormat="1" applyFont="1" applyFill="1" applyBorder="1" applyAlignment="1">
      <alignment horizontal="centerContinuous" vertical="center"/>
    </xf>
    <xf numFmtId="0" fontId="25" fillId="0" borderId="0" xfId="0" applyNumberFormat="1" applyFont="1" applyFill="1" applyBorder="1" applyAlignment="1">
      <alignment horizontal="center" vertical="center"/>
    </xf>
    <xf numFmtId="0" fontId="25" fillId="0" borderId="1" xfId="0" applyNumberFormat="1" applyFont="1" applyFill="1" applyBorder="1" applyAlignment="1">
      <alignment horizontal="left" vertical="center"/>
    </xf>
    <xf numFmtId="0" fontId="25" fillId="0" borderId="1" xfId="0" applyNumberFormat="1" applyFont="1" applyFill="1" applyBorder="1" applyAlignment="1">
      <alignment horizontal="centerContinuous" vertical="center"/>
    </xf>
    <xf numFmtId="9" fontId="25" fillId="0" borderId="1" xfId="4" applyFont="1" applyFill="1" applyBorder="1" applyAlignment="1">
      <alignment horizontal="centerContinuous" vertical="center"/>
    </xf>
    <xf numFmtId="0" fontId="26" fillId="0" borderId="0" xfId="0" applyNumberFormat="1" applyFont="1" applyBorder="1" applyAlignment="1">
      <alignment horizontal="left" vertical="center"/>
    </xf>
    <xf numFmtId="0" fontId="26" fillId="0" borderId="0" xfId="0" applyNumberFormat="1" applyFont="1" applyBorder="1" applyAlignment="1">
      <alignment horizontal="center" vertical="center"/>
    </xf>
    <xf numFmtId="2" fontId="26" fillId="0" borderId="0" xfId="0" applyNumberFormat="1" applyFont="1" applyFill="1" applyBorder="1" applyAlignment="1">
      <alignment horizontal="center" vertical="center"/>
    </xf>
    <xf numFmtId="0" fontId="5" fillId="0" borderId="0" xfId="0" quotePrefix="1" applyNumberFormat="1" applyFont="1" applyBorder="1" applyAlignment="1">
      <alignment horizontal="left" vertical="center"/>
    </xf>
    <xf numFmtId="0" fontId="3" fillId="0" borderId="0" xfId="0" quotePrefix="1" applyNumberFormat="1" applyFont="1" applyBorder="1" applyAlignment="1">
      <alignment horizontal="left" vertical="center"/>
    </xf>
    <xf numFmtId="0" fontId="29" fillId="0" borderId="0" xfId="0" applyFont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left" vertical="center"/>
    </xf>
    <xf numFmtId="0" fontId="9" fillId="0" borderId="0" xfId="0" applyFont="1" applyFill="1" applyBorder="1" applyAlignment="1">
      <alignment horizontal="left" vertical="center"/>
    </xf>
    <xf numFmtId="9" fontId="0" fillId="0" borderId="0" xfId="0" applyNumberFormat="1" applyFill="1" applyBorder="1" applyAlignment="1">
      <alignment vertical="center"/>
    </xf>
    <xf numFmtId="0" fontId="25" fillId="0" borderId="0" xfId="0" applyNumberFormat="1" applyFont="1" applyBorder="1" applyAlignment="1">
      <alignment horizontal="left" vertical="center"/>
    </xf>
    <xf numFmtId="0" fontId="25" fillId="0" borderId="0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167" fontId="0" fillId="0" borderId="0" xfId="0" applyNumberFormat="1" applyBorder="1" applyAlignment="1">
      <alignment vertical="center"/>
    </xf>
    <xf numFmtId="0" fontId="49" fillId="0" borderId="0" xfId="0" applyFont="1" applyBorder="1" applyAlignment="1">
      <alignment vertical="center"/>
    </xf>
    <xf numFmtId="0" fontId="50" fillId="0" borderId="0" xfId="0" applyFont="1" applyFill="1" applyBorder="1" applyAlignment="1">
      <alignment horizontal="left" vertical="center"/>
    </xf>
    <xf numFmtId="0" fontId="6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center" vertical="center"/>
    </xf>
    <xf numFmtId="9" fontId="26" fillId="0" borderId="8" xfId="4" applyFont="1" applyBorder="1" applyAlignment="1">
      <alignment horizontal="center" vertical="center"/>
    </xf>
    <xf numFmtId="0" fontId="25" fillId="0" borderId="17" xfId="0" applyFont="1" applyBorder="1" applyAlignment="1">
      <alignment horizontal="center" vertical="center"/>
    </xf>
    <xf numFmtId="9" fontId="25" fillId="0" borderId="17" xfId="4" applyFont="1" applyBorder="1" applyAlignment="1">
      <alignment horizontal="center" vertical="center"/>
    </xf>
    <xf numFmtId="0" fontId="25" fillId="0" borderId="13" xfId="0" applyFont="1" applyBorder="1" applyAlignment="1">
      <alignment horizontal="center" vertical="center"/>
    </xf>
    <xf numFmtId="9" fontId="25" fillId="0" borderId="13" xfId="4" applyFont="1" applyBorder="1" applyAlignment="1">
      <alignment horizontal="center" vertical="center"/>
    </xf>
    <xf numFmtId="0" fontId="25" fillId="0" borderId="18" xfId="0" applyFont="1" applyBorder="1" applyAlignment="1">
      <alignment horizontal="center" vertical="center"/>
    </xf>
    <xf numFmtId="9" fontId="25" fillId="0" borderId="18" xfId="4" applyFont="1" applyBorder="1" applyAlignment="1">
      <alignment horizontal="center" vertical="center"/>
    </xf>
    <xf numFmtId="0" fontId="26" fillId="0" borderId="19" xfId="0" quotePrefix="1" applyFont="1" applyFill="1" applyBorder="1" applyAlignment="1">
      <alignment horizontal="left" vertical="center"/>
    </xf>
    <xf numFmtId="0" fontId="27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/>
    </xf>
    <xf numFmtId="14" fontId="27" fillId="0" borderId="20" xfId="0" applyNumberFormat="1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left" vertical="center"/>
    </xf>
    <xf numFmtId="0" fontId="51" fillId="0" borderId="13" xfId="0" applyNumberFormat="1" applyFont="1" applyFill="1" applyBorder="1" applyAlignment="1">
      <alignment horizontal="center" vertical="center"/>
    </xf>
    <xf numFmtId="9" fontId="25" fillId="0" borderId="13" xfId="4" applyFont="1" applyFill="1" applyBorder="1" applyAlignment="1">
      <alignment horizontal="center" vertical="center"/>
    </xf>
    <xf numFmtId="0" fontId="7" fillId="0" borderId="13" xfId="0" applyFont="1" applyBorder="1" applyAlignment="1">
      <alignment horizontal="left" vertical="center"/>
    </xf>
    <xf numFmtId="0" fontId="7" fillId="0" borderId="13" xfId="0" applyFont="1" applyFill="1" applyBorder="1" applyAlignment="1">
      <alignment horizontal="center" vertical="center"/>
    </xf>
    <xf numFmtId="0" fontId="51" fillId="0" borderId="21" xfId="0" applyNumberFormat="1" applyFont="1" applyFill="1" applyBorder="1" applyAlignment="1">
      <alignment horizontal="left" vertical="center"/>
    </xf>
    <xf numFmtId="0" fontId="51" fillId="0" borderId="21" xfId="0" applyNumberFormat="1" applyFont="1" applyFill="1" applyBorder="1" applyAlignment="1">
      <alignment horizontal="center" vertical="center"/>
    </xf>
    <xf numFmtId="9" fontId="25" fillId="0" borderId="21" xfId="4" applyFont="1" applyFill="1" applyBorder="1" applyAlignment="1">
      <alignment horizontal="center"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Fill="1" applyBorder="1" applyAlignment="1">
      <alignment horizontal="center" vertical="center"/>
    </xf>
    <xf numFmtId="0" fontId="51" fillId="0" borderId="13" xfId="0" applyNumberFormat="1" applyFont="1" applyFill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5" fillId="15" borderId="17" xfId="0" applyFont="1" applyFill="1" applyBorder="1" applyAlignment="1">
      <alignment horizontal="center" vertical="center"/>
    </xf>
    <xf numFmtId="0" fontId="25" fillId="15" borderId="13" xfId="0" applyFont="1" applyFill="1" applyBorder="1" applyAlignment="1">
      <alignment horizontal="center" vertical="center"/>
    </xf>
    <xf numFmtId="0" fontId="25" fillId="15" borderId="18" xfId="0" applyFont="1" applyFill="1" applyBorder="1" applyAlignment="1">
      <alignment horizontal="center" vertical="center"/>
    </xf>
    <xf numFmtId="0" fontId="26" fillId="15" borderId="8" xfId="0" applyFont="1" applyFill="1" applyBorder="1" applyAlignment="1">
      <alignment horizontal="center" vertical="center"/>
    </xf>
    <xf numFmtId="0" fontId="0" fillId="15" borderId="0" xfId="0" applyFill="1" applyBorder="1" applyAlignment="1">
      <alignment vertical="center"/>
    </xf>
    <xf numFmtId="0" fontId="7" fillId="15" borderId="0" xfId="0" applyFont="1" applyFill="1" applyBorder="1" applyAlignment="1">
      <alignment vertical="center"/>
    </xf>
    <xf numFmtId="0" fontId="52" fillId="0" borderId="0" xfId="0" applyFont="1" applyBorder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22" xfId="6" applyFont="1" applyBorder="1" applyAlignment="1">
      <alignment horizontal="center"/>
    </xf>
    <xf numFmtId="0" fontId="1" fillId="0" borderId="0" xfId="6" applyFont="1" applyAlignment="1">
      <alignment horizontal="left"/>
    </xf>
    <xf numFmtId="0" fontId="1" fillId="0" borderId="23" xfId="6" applyBorder="1" applyAlignment="1">
      <alignment horizontal="center"/>
    </xf>
    <xf numFmtId="0" fontId="1" fillId="0" borderId="23" xfId="6" applyFont="1" applyBorder="1" applyAlignment="1">
      <alignment horizontal="center"/>
    </xf>
    <xf numFmtId="0" fontId="1" fillId="0" borderId="0" xfId="6" applyFont="1" applyAlignment="1">
      <alignment horizontal="center"/>
    </xf>
    <xf numFmtId="0" fontId="1" fillId="0" borderId="24" xfId="6" applyBorder="1" applyAlignment="1">
      <alignment horizontal="center"/>
    </xf>
    <xf numFmtId="0" fontId="1" fillId="0" borderId="24" xfId="6" applyFont="1" applyBorder="1" applyAlignment="1">
      <alignment horizontal="center"/>
    </xf>
    <xf numFmtId="0" fontId="53" fillId="0" borderId="0" xfId="6" applyFont="1" applyAlignment="1">
      <alignment horizontal="left"/>
    </xf>
    <xf numFmtId="0" fontId="53" fillId="0" borderId="0" xfId="6" applyFont="1" applyAlignment="1">
      <alignment horizontal="center"/>
    </xf>
    <xf numFmtId="0" fontId="43" fillId="0" borderId="0" xfId="6" applyFont="1" applyAlignment="1">
      <alignment horizontal="left"/>
    </xf>
    <xf numFmtId="0" fontId="25" fillId="0" borderId="1" xfId="0" applyNumberFormat="1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25" fillId="3" borderId="0" xfId="0" applyFont="1" applyFill="1" applyBorder="1" applyAlignment="1">
      <alignment vertical="center"/>
    </xf>
    <xf numFmtId="0" fontId="25" fillId="7" borderId="0" xfId="0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/>
    </xf>
    <xf numFmtId="0" fontId="42" fillId="0" borderId="0" xfId="0" quotePrefix="1" applyFont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5" fillId="0" borderId="17" xfId="0" applyFont="1" applyBorder="1" applyAlignment="1">
      <alignment horizontal="left" vertical="center"/>
    </xf>
    <xf numFmtId="9" fontId="25" fillId="0" borderId="17" xfId="0" applyNumberFormat="1" applyFont="1" applyFill="1" applyBorder="1" applyAlignment="1">
      <alignment vertical="center"/>
    </xf>
    <xf numFmtId="0" fontId="42" fillId="0" borderId="0" xfId="0" applyFont="1" applyBorder="1" applyAlignment="1">
      <alignment vertical="center"/>
    </xf>
    <xf numFmtId="0" fontId="42" fillId="0" borderId="0" xfId="0" applyFont="1" applyBorder="1" applyAlignment="1">
      <alignment horizontal="center" vertical="center"/>
    </xf>
    <xf numFmtId="0" fontId="25" fillId="0" borderId="13" xfId="0" applyFont="1" applyBorder="1" applyAlignment="1">
      <alignment horizontal="left" vertical="center"/>
    </xf>
    <xf numFmtId="9" fontId="25" fillId="0" borderId="13" xfId="0" applyNumberFormat="1" applyFont="1" applyFill="1" applyBorder="1" applyAlignment="1">
      <alignment vertical="center"/>
    </xf>
    <xf numFmtId="0" fontId="25" fillId="0" borderId="18" xfId="0" applyFont="1" applyBorder="1" applyAlignment="1">
      <alignment horizontal="left" vertical="center"/>
    </xf>
    <xf numFmtId="9" fontId="25" fillId="0" borderId="18" xfId="0" applyNumberFormat="1" applyFont="1" applyBorder="1" applyAlignment="1">
      <alignment vertical="center"/>
    </xf>
    <xf numFmtId="9" fontId="25" fillId="0" borderId="18" xfId="4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9" fontId="26" fillId="0" borderId="8" xfId="0" applyNumberFormat="1" applyFont="1" applyFill="1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9" fontId="25" fillId="0" borderId="0" xfId="0" applyNumberFormat="1" applyFont="1" applyFill="1" applyBorder="1" applyAlignment="1">
      <alignment vertical="center"/>
    </xf>
    <xf numFmtId="0" fontId="25" fillId="2" borderId="8" xfId="0" applyFont="1" applyFill="1" applyBorder="1" applyAlignment="1">
      <alignment vertical="center"/>
    </xf>
    <xf numFmtId="9" fontId="25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9" fontId="26" fillId="0" borderId="8" xfId="0" applyNumberFormat="1" applyFont="1" applyBorder="1" applyAlignment="1">
      <alignment vertical="center"/>
    </xf>
    <xf numFmtId="0" fontId="54" fillId="0" borderId="0" xfId="0" applyFont="1" applyBorder="1" applyAlignment="1">
      <alignment horizontal="center" vertical="center"/>
    </xf>
    <xf numFmtId="0" fontId="55" fillId="2" borderId="8" xfId="0" applyFont="1" applyFill="1" applyBorder="1" applyAlignment="1">
      <alignment horizontal="center" vertical="center"/>
    </xf>
    <xf numFmtId="9" fontId="54" fillId="0" borderId="17" xfId="0" applyNumberFormat="1" applyFont="1" applyFill="1" applyBorder="1" applyAlignment="1">
      <alignment horizontal="center" vertical="center"/>
    </xf>
    <xf numFmtId="9" fontId="54" fillId="0" borderId="13" xfId="0" applyNumberFormat="1" applyFont="1" applyFill="1" applyBorder="1" applyAlignment="1">
      <alignment horizontal="center" vertical="center"/>
    </xf>
    <xf numFmtId="9" fontId="54" fillId="0" borderId="18" xfId="0" applyNumberFormat="1" applyFont="1" applyBorder="1" applyAlignment="1">
      <alignment horizontal="center" vertical="center"/>
    </xf>
    <xf numFmtId="9" fontId="56" fillId="0" borderId="8" xfId="0" applyNumberFormat="1" applyFont="1" applyFill="1" applyBorder="1" applyAlignment="1">
      <alignment horizontal="center" vertical="center"/>
    </xf>
    <xf numFmtId="9" fontId="54" fillId="0" borderId="0" xfId="0" applyNumberFormat="1" applyFont="1" applyFill="1" applyBorder="1" applyAlignment="1">
      <alignment horizontal="center" vertical="center"/>
    </xf>
    <xf numFmtId="0" fontId="54" fillId="2" borderId="8" xfId="0" applyFont="1" applyFill="1" applyBorder="1" applyAlignment="1">
      <alignment horizontal="center" vertical="center"/>
    </xf>
    <xf numFmtId="9" fontId="54" fillId="0" borderId="0" xfId="0" applyNumberFormat="1" applyFont="1" applyBorder="1" applyAlignment="1">
      <alignment horizontal="center" vertical="center"/>
    </xf>
    <xf numFmtId="9" fontId="56" fillId="0" borderId="8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7" borderId="0" xfId="0" applyFont="1" applyFill="1" applyBorder="1" applyAlignment="1">
      <alignment horizontal="center" vertical="center"/>
    </xf>
    <xf numFmtId="0" fontId="29" fillId="7" borderId="0" xfId="0" applyFont="1" applyFill="1" applyBorder="1" applyAlignment="1">
      <alignment horizontal="center" vertical="center"/>
    </xf>
    <xf numFmtId="0" fontId="29" fillId="2" borderId="8" xfId="0" applyFont="1" applyFill="1" applyBorder="1" applyAlignment="1">
      <alignment horizontal="center" vertical="center"/>
    </xf>
    <xf numFmtId="0" fontId="25" fillId="2" borderId="8" xfId="0" applyFont="1" applyFill="1" applyBorder="1" applyAlignment="1">
      <alignment horizontal="center" vertical="center"/>
    </xf>
    <xf numFmtId="0" fontId="25" fillId="5" borderId="8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5" fillId="7" borderId="17" xfId="0" applyFont="1" applyFill="1" applyBorder="1" applyAlignment="1">
      <alignment horizontal="center" vertical="center"/>
    </xf>
    <xf numFmtId="0" fontId="25" fillId="0" borderId="13" xfId="0" applyFont="1" applyFill="1" applyBorder="1" applyAlignment="1">
      <alignment horizontal="center" vertical="center"/>
    </xf>
    <xf numFmtId="0" fontId="25" fillId="7" borderId="13" xfId="0" applyFont="1" applyFill="1" applyBorder="1" applyAlignment="1">
      <alignment horizontal="center" vertical="center"/>
    </xf>
    <xf numFmtId="0" fontId="25" fillId="0" borderId="18" xfId="0" applyFont="1" applyFill="1" applyBorder="1" applyAlignment="1">
      <alignment horizontal="center" vertical="center"/>
    </xf>
    <xf numFmtId="0" fontId="25" fillId="7" borderId="18" xfId="0" applyFont="1" applyFill="1" applyBorder="1" applyAlignment="1">
      <alignment horizontal="center" vertical="center"/>
    </xf>
    <xf numFmtId="0" fontId="26" fillId="0" borderId="8" xfId="0" applyFont="1" applyFill="1" applyBorder="1" applyAlignment="1">
      <alignment horizontal="center" vertical="center"/>
    </xf>
    <xf numFmtId="0" fontId="26" fillId="7" borderId="8" xfId="0" applyFont="1" applyFill="1" applyBorder="1" applyAlignment="1">
      <alignment horizontal="center" vertical="center"/>
    </xf>
    <xf numFmtId="9" fontId="54" fillId="0" borderId="18" xfId="0" applyNumberFormat="1" applyFont="1" applyFill="1" applyBorder="1" applyAlignment="1">
      <alignment horizontal="center" vertical="center"/>
    </xf>
    <xf numFmtId="9" fontId="54" fillId="0" borderId="17" xfId="0" applyNumberFormat="1" applyFont="1" applyBorder="1" applyAlignment="1">
      <alignment horizontal="center" vertical="center"/>
    </xf>
    <xf numFmtId="9" fontId="54" fillId="0" borderId="13" xfId="0" applyNumberFormat="1" applyFont="1" applyBorder="1" applyAlignment="1">
      <alignment horizontal="center" vertical="center"/>
    </xf>
    <xf numFmtId="9" fontId="54" fillId="5" borderId="8" xfId="0" applyNumberFormat="1" applyFont="1" applyFill="1" applyBorder="1" applyAlignment="1">
      <alignment horizontal="center" vertical="center"/>
    </xf>
    <xf numFmtId="0" fontId="54" fillId="0" borderId="0" xfId="0" applyFont="1" applyBorder="1" applyAlignment="1">
      <alignment vertical="center"/>
    </xf>
    <xf numFmtId="9" fontId="54" fillId="7" borderId="17" xfId="0" applyNumberFormat="1" applyFont="1" applyFill="1" applyBorder="1" applyAlignment="1">
      <alignment horizontal="center" vertical="center"/>
    </xf>
    <xf numFmtId="9" fontId="54" fillId="7" borderId="13" xfId="0" applyNumberFormat="1" applyFont="1" applyFill="1" applyBorder="1" applyAlignment="1">
      <alignment horizontal="center" vertical="center"/>
    </xf>
    <xf numFmtId="9" fontId="54" fillId="7" borderId="18" xfId="0" applyNumberFormat="1" applyFont="1" applyFill="1" applyBorder="1" applyAlignment="1">
      <alignment horizontal="center" vertical="center"/>
    </xf>
    <xf numFmtId="9" fontId="56" fillId="7" borderId="8" xfId="0" applyNumberFormat="1" applyFont="1" applyFill="1" applyBorder="1" applyAlignment="1">
      <alignment horizontal="center" vertical="center"/>
    </xf>
    <xf numFmtId="9" fontId="54" fillId="7" borderId="0" xfId="0" applyNumberFormat="1" applyFont="1" applyFill="1" applyBorder="1" applyAlignment="1">
      <alignment horizontal="center" vertical="center"/>
    </xf>
    <xf numFmtId="9" fontId="54" fillId="3" borderId="8" xfId="0" applyNumberFormat="1" applyFont="1" applyFill="1" applyBorder="1" applyAlignment="1">
      <alignment horizontal="center" vertical="center"/>
    </xf>
    <xf numFmtId="14" fontId="26" fillId="0" borderId="0" xfId="0" applyNumberFormat="1" applyFont="1" applyBorder="1" applyAlignment="1">
      <alignment horizontal="center" vertical="center"/>
    </xf>
    <xf numFmtId="0" fontId="13" fillId="0" borderId="13" xfId="0" applyFont="1" applyBorder="1"/>
    <xf numFmtId="0" fontId="13" fillId="0" borderId="13" xfId="0" applyFont="1" applyFill="1" applyBorder="1"/>
    <xf numFmtId="0" fontId="10" fillId="0" borderId="8" xfId="0" applyFont="1" applyBorder="1"/>
    <xf numFmtId="0" fontId="10" fillId="0" borderId="8" xfId="0" applyFont="1" applyFill="1" applyBorder="1"/>
    <xf numFmtId="0" fontId="15" fillId="0" borderId="17" xfId="0" applyFont="1" applyBorder="1"/>
    <xf numFmtId="0" fontId="13" fillId="0" borderId="17" xfId="0" applyFont="1" applyFill="1" applyBorder="1" applyAlignment="1">
      <alignment horizontal="right"/>
    </xf>
    <xf numFmtId="0" fontId="13" fillId="0" borderId="17" xfId="0" applyFont="1" applyBorder="1" applyAlignment="1">
      <alignment horizontal="right"/>
    </xf>
    <xf numFmtId="0" fontId="13" fillId="0" borderId="17" xfId="0" applyFont="1" applyBorder="1"/>
    <xf numFmtId="0" fontId="13" fillId="0" borderId="17" xfId="0" applyFont="1" applyFill="1" applyBorder="1"/>
    <xf numFmtId="0" fontId="15" fillId="0" borderId="18" xfId="0" applyFont="1" applyBorder="1"/>
    <xf numFmtId="0" fontId="13" fillId="0" borderId="18" xfId="0" applyFont="1" applyFill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13" fillId="0" borderId="18" xfId="0" applyFont="1" applyBorder="1"/>
    <xf numFmtId="0" fontId="13" fillId="0" borderId="18" xfId="0" applyFont="1" applyFill="1" applyBorder="1"/>
    <xf numFmtId="0" fontId="10" fillId="0" borderId="13" xfId="0" applyFont="1" applyBorder="1" applyAlignment="1">
      <alignment horizontal="left" indent="1"/>
    </xf>
    <xf numFmtId="0" fontId="10" fillId="0" borderId="17" xfId="0" applyFont="1" applyBorder="1" applyAlignment="1">
      <alignment horizontal="left" indent="1"/>
    </xf>
    <xf numFmtId="0" fontId="10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4" fillId="0" borderId="29" xfId="0" quotePrefix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25" fillId="0" borderId="13" xfId="0" applyNumberFormat="1" applyFont="1" applyBorder="1" applyAlignment="1">
      <alignment vertical="center"/>
    </xf>
    <xf numFmtId="9" fontId="25" fillId="0" borderId="17" xfId="0" applyNumberFormat="1" applyFont="1" applyBorder="1" applyAlignment="1">
      <alignment vertical="center"/>
    </xf>
    <xf numFmtId="9" fontId="25" fillId="0" borderId="17" xfId="4" applyFont="1" applyBorder="1" applyAlignment="1">
      <alignment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51" fillId="13" borderId="13" xfId="0" applyNumberFormat="1" applyFont="1" applyFill="1" applyBorder="1" applyAlignment="1">
      <alignment horizontal="center" vertical="center"/>
    </xf>
    <xf numFmtId="0" fontId="25" fillId="13" borderId="13" xfId="6" applyFont="1" applyFill="1" applyBorder="1" applyAlignment="1">
      <alignment vertical="center"/>
    </xf>
    <xf numFmtId="0" fontId="46" fillId="13" borderId="13" xfId="6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13" xfId="19" applyFont="1" applyBorder="1" applyAlignment="1">
      <alignment horizontal="center" vertical="center"/>
    </xf>
    <xf numFmtId="0" fontId="25" fillId="0" borderId="13" xfId="19" applyFont="1" applyFill="1" applyBorder="1" applyAlignment="1">
      <alignment vertical="center"/>
    </xf>
    <xf numFmtId="0" fontId="46" fillId="0" borderId="13" xfId="19" applyFont="1" applyFill="1" applyBorder="1" applyAlignment="1">
      <alignment horizontal="center" vertical="center"/>
    </xf>
    <xf numFmtId="4" fontId="25" fillId="0" borderId="16" xfId="19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9" fontId="54" fillId="7" borderId="17" xfId="0" quotePrefix="1" applyNumberFormat="1" applyFont="1" applyFill="1" applyBorder="1" applyAlignment="1">
      <alignment horizontal="center" vertical="center"/>
    </xf>
    <xf numFmtId="9" fontId="54" fillId="7" borderId="13" xfId="0" quotePrefix="1" applyNumberFormat="1" applyFont="1" applyFill="1" applyBorder="1" applyAlignment="1">
      <alignment horizontal="center" vertical="center"/>
    </xf>
    <xf numFmtId="9" fontId="54" fillId="7" borderId="18" xfId="0" quotePrefix="1" applyNumberFormat="1" applyFont="1" applyFill="1" applyBorder="1" applyAlignment="1">
      <alignment horizontal="center" vertical="center"/>
    </xf>
    <xf numFmtId="9" fontId="56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5" fillId="0" borderId="0" xfId="19" applyFont="1" applyFill="1" applyBorder="1" applyAlignment="1">
      <alignment vertical="center"/>
    </xf>
    <xf numFmtId="0" fontId="46" fillId="0" borderId="0" xfId="19" applyFont="1" applyFill="1" applyBorder="1" applyAlignment="1">
      <alignment horizontal="center" vertical="center"/>
    </xf>
    <xf numFmtId="4" fontId="25" fillId="0" borderId="32" xfId="19" applyNumberFormat="1" applyFont="1" applyBorder="1" applyAlignment="1">
      <alignment horizontal="center" vertical="center"/>
    </xf>
    <xf numFmtId="9" fontId="25" fillId="0" borderId="0" xfId="4" applyFont="1" applyBorder="1" applyAlignment="1">
      <alignment vertical="center"/>
    </xf>
    <xf numFmtId="0" fontId="63" fillId="13" borderId="30" xfId="19" applyFont="1" applyFill="1" applyBorder="1" applyAlignment="1">
      <alignment vertical="center"/>
    </xf>
    <xf numFmtId="0" fontId="64" fillId="13" borderId="30" xfId="19" applyFont="1" applyFill="1" applyBorder="1" applyAlignment="1">
      <alignment horizontal="center" vertical="center"/>
    </xf>
    <xf numFmtId="4" fontId="63" fillId="13" borderId="31" xfId="19" applyNumberFormat="1" applyFont="1" applyFill="1" applyBorder="1" applyAlignment="1">
      <alignment horizontal="center" vertical="center"/>
    </xf>
    <xf numFmtId="9" fontId="63" fillId="13" borderId="30" xfId="4" applyFont="1" applyFill="1" applyBorder="1" applyAlignment="1">
      <alignment vertical="center"/>
    </xf>
    <xf numFmtId="0" fontId="25" fillId="13" borderId="13" xfId="19" applyFont="1" applyFill="1" applyBorder="1" applyAlignment="1">
      <alignment vertical="center"/>
    </xf>
    <xf numFmtId="0" fontId="46" fillId="13" borderId="13" xfId="19" applyFont="1" applyFill="1" applyBorder="1" applyAlignment="1">
      <alignment horizontal="center" vertical="center"/>
    </xf>
    <xf numFmtId="4" fontId="25" fillId="13" borderId="16" xfId="19" applyNumberFormat="1" applyFont="1" applyFill="1" applyBorder="1" applyAlignment="1">
      <alignment horizontal="center" vertical="center"/>
    </xf>
    <xf numFmtId="9" fontId="25" fillId="13" borderId="13" xfId="4" applyFont="1" applyFill="1" applyBorder="1" applyAlignment="1">
      <alignment vertical="center"/>
    </xf>
    <xf numFmtId="0" fontId="51" fillId="16" borderId="13" xfId="0" applyNumberFormat="1" applyFont="1" applyFill="1" applyBorder="1" applyAlignment="1">
      <alignment horizontal="left" vertical="center"/>
    </xf>
    <xf numFmtId="0" fontId="51" fillId="16" borderId="13" xfId="0" applyNumberFormat="1" applyFont="1" applyFill="1" applyBorder="1" applyAlignment="1">
      <alignment horizontal="center" vertical="center"/>
    </xf>
    <xf numFmtId="9" fontId="25" fillId="16" borderId="13" xfId="4" applyFont="1" applyFill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0" fontId="15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/>
    <xf numFmtId="14" fontId="26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14" fontId="26" fillId="7" borderId="0" xfId="0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2" fontId="6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6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6" fillId="14" borderId="5" xfId="0" applyFont="1" applyFill="1" applyBorder="1" applyAlignment="1">
      <alignment horizontal="center" vertical="center" wrapText="1"/>
    </xf>
    <xf numFmtId="0" fontId="6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6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 xr:uid="{00000000-0005-0000-0000-000000000000}"/>
    <cellStyle name="Comma 2 2" xfId="8" xr:uid="{00000000-0005-0000-0000-000001000000}"/>
    <cellStyle name="Currency 2" xfId="9" xr:uid="{00000000-0005-0000-0000-000002000000}"/>
    <cellStyle name="Currency 2 2" xfId="10" xr:uid="{00000000-0005-0000-0000-000003000000}"/>
    <cellStyle name="Currency 3" xfId="11" xr:uid="{00000000-0005-0000-0000-000004000000}"/>
    <cellStyle name="Hyperlink" xfId="1" builtinId="8"/>
    <cellStyle name="Hyperlink 2" xfId="12" xr:uid="{00000000-0005-0000-0000-000006000000}"/>
    <cellStyle name="Normal" xfId="0" builtinId="0"/>
    <cellStyle name="Normal 2" xfId="2" xr:uid="{00000000-0005-0000-0000-000008000000}"/>
    <cellStyle name="Normal 2 2" xfId="6" xr:uid="{00000000-0005-0000-0000-000009000000}"/>
    <cellStyle name="Normal 2 2 2" xfId="19" xr:uid="{00000000-0005-0000-0000-00000A000000}"/>
    <cellStyle name="Normal 2 3" xfId="13" xr:uid="{00000000-0005-0000-0000-00000B000000}"/>
    <cellStyle name="Normal 3" xfId="3" xr:uid="{00000000-0005-0000-0000-00000C000000}"/>
    <cellStyle name="Normal 4" xfId="14" xr:uid="{00000000-0005-0000-0000-00000D000000}"/>
    <cellStyle name="Normal 5" xfId="15" xr:uid="{00000000-0005-0000-0000-00000E000000}"/>
    <cellStyle name="Normal 6" xfId="16" xr:uid="{00000000-0005-0000-0000-00000F000000}"/>
    <cellStyle name="Percent" xfId="4" builtinId="5"/>
    <cellStyle name="Percent 2" xfId="5" xr:uid="{00000000-0005-0000-0000-000011000000}"/>
    <cellStyle name="Percent 2 2" xfId="17" xr:uid="{00000000-0005-0000-0000-000012000000}"/>
    <cellStyle name="Percent 3" xfId="18" xr:uid="{00000000-0005-0000-0000-000013000000}"/>
  </cellStyles>
  <dxfs count="1272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theme" Target="theme/theme1.xml"/><Relationship Id="rId68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69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Relationship Id="rId70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{A0199651-6137-4A5D-9445-009DB9F0D293}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{439EF23F-9FA5-4237-8620-1DE79D19913C}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{EE877541-2E18-4CB1-A44B-DBD5DFE828A0}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{559816C9-7F50-4175-9FB3-AA67D7ADD2AF}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{127A3E70-6B22-4ECB-BEA5-973A511B8EFF}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{201DC4ED-1F14-49EF-B363-BFF5A2C96FA9}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{6F0E9A27-28FC-4531-8CF2-93CA3E8D32AB}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{0E47CD68-A4FE-40F0-B105-851D89B53F22}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{3138FAD6-AAC2-4F6F-8697-9ABC507355B2}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{DAD53C8E-75EC-4F87-845A-2D268B3CB9B4}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{A58EDEDC-E243-480B-BEE1-E96F1514DFDC}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{344E3423-67A8-49BC-B1A4-B12E5CF84C53}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{DC883F9B-0FB5-4809-82EA-86CB480BC9B8}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{A6893596-BC54-4F63-9229-957FC4E075DB}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{884F6EA9-2932-480F-A1E5-740BB67BCB6F}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{60749614-A4D6-44E5-9152-579083F5C900}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{1B9D21FB-1FB1-4DAD-9734-DE5F65AE034E}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{F53A12DA-F741-4D47-A44A-4AD6069502A5}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{8578E139-900B-42E0-A91C-B2401B8765CB}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{09C3A6A0-A959-4894-B42D-CCBDC5A31271}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{D050C16A-8CCF-462E-871C-99561592CC99}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{4A89DB13-7AAD-4E30-9E33-5892EFE44790}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{F64CDC08-CCC2-472A-8061-4692BBF3A7DF}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{6414996D-BED4-4974-A1FB-C6B812CBF2BA}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{29E9FA1B-6B6A-489F-B076-69DBA0FAC39B}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{A888D9B7-A5E1-4FA4-BCA4-C98694FA5DF2}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{70463FAD-93B0-497A-BAD1-29D8A9C3EC7B}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{94399ACD-3621-4236-93CA-236EBCEA6792}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{660C8129-11B3-4A1A-886E-D9DC7EC55090}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{702F5C66-2EDA-4416-9E6A-52FE61419D1C}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{6CA5E280-F4DB-4DF9-B62E-9857EE898956}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{E94F4673-9756-45D5-A292-27680E13B369}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{9826D50B-7367-40B9-A8A6-FA0576E39554}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{339AA69E-8BB9-4461-899F-0F8F334CEC94}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{3B2FC82E-657D-423B-B262-98CC55F8DF2B}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{D2B01761-E1BB-4F8C-8BE6-8C1DC5CCF37C}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{AD5B709B-D322-4746-B3F4-EB7A8C068C06}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{74665C28-453B-48DB-841E-F8EB700F9FBA}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{8F0ED2BC-4246-47F3-9B35-DE9C8732D4BF}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{78D00EFB-A80B-4314-9913-01EE492AA8C8}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{7389BB97-0555-47BF-83C0-84ADA1F9E134}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{8A9E81DC-A7DD-40E7-9D1C-CDD70740C772}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{4748892F-984D-4378-BA46-ADD022E89A25}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{4FA174F6-E318-4EBA-ACC0-F02B3646DAD9}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{493C39B9-A420-43E3-8246-D8E89958EA38}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{2EAB9B76-EA5D-4C7F-9816-581472BBA942}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{BE485EF9-5811-49EE-9DFA-B4F6DEB3A6F0}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{EC5A81F6-6DA9-490C-8C06-561DB72DFB56}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{C451E3F7-BA25-49D0-9E80-143A8B608756}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{9030EE33-23B9-4A05-A93A-DEF5D691042B}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{01BBF47F-7A64-4657-A760-37DADA6A0B76}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{B3EFD620-7EF5-4468-B511-611D9E2A2DE3}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{C6EA5D9B-7140-4165-B126-0DA706191419}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{5F8DBECA-8DF4-49FD-B761-F5B343AA18D6}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{E657157E-9CDC-4012-A635-E21DEA43FA6E}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{10A97E82-B1AA-43E3-BBDD-8E47727C95A1}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{C901B2EB-1D68-4A88-A89C-F716B64E447B}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{28407CFE-5C2A-45FC-BAB8-4716CEAB1424}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{CFBA1B7E-1334-4B60-B388-05DB8C0BC79C}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{12AFEAC6-7ABA-4926-B362-AC863F96FEB7}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{159DF7D3-2E72-4C50-8591-C99854147132}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{406B99D9-D961-4F1A-AB5B-CA7495501551}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{AA9256DF-B193-49A3-8575-4A7399927F59}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{6E7FC38C-9401-4E02-968B-BE588C478726}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{1F9D3160-7E0A-48B8-9048-40F583187F8B}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{4D3D7CD6-6FAE-4CF3-856B-C796EDC399EA}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{4093EDC8-8FEA-4836-A4BF-8F2F9D006B6B}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{76C01CFC-1316-44E4-953A-C62DFD48C102}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{45D281C8-9C92-4528-895F-0F628857715C}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{4FFFC78D-C250-40C7-886E-C7042A8AE23D}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{1368D215-EC18-4E04-B328-392B19BEF210}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{E3883A6B-D3DE-4B45-B8C2-234DD8FA060B}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{521EBB71-BB59-40DF-BCBE-77E71699968A}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{C8FF5C31-9B1D-4DFD-8A65-92B30A0716C1}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{8A0884E4-EFE6-41B9-A61E-7B180EFB9C7C}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{FB346A57-77DB-45E2-A9E2-3F91142EEA46}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{822F3E84-622A-43AC-9F1D-27742396F0C9}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{A4EE3E70-4477-45E2-A1B8-336A50FE7F0A}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{D3772185-128E-4B62-8477-043B8FD837F7}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{28322C6C-2A59-48A5-8BA4-7ACA3F8F0AAD}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{0BB66B12-F4C5-4A45-AD63-C2F6371EF1E5}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{AB8D88F0-D236-4523-8A19-5B2E4D4B74DA}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{1683318B-7F7B-4318-9BA5-13790F73C0BA}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{84076EFE-56FE-4716-A5A7-07B479B93A8E}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{256E7911-5D24-4240-A79E-03F68F2FA777}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{FF1C8F53-B61D-497B-8950-6E6BDE6CB74D}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{C0D2C134-AD15-4EF0-8D3C-132A9AD3AB58}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{3912AD0E-3FBB-416A-B999-1C23B1279A1B}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{B7EA4334-8D5E-463B-B3C0-70360C68D1D5}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{BBE6103E-2419-4DDE-90CE-B923ECE9EBFC}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{CEF67CBF-B21C-44DE-89BD-01A95E35663D}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{B7D93233-7A28-4754-920B-3F36917FDB67}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{DA1F70B6-6FD7-4FDB-BF64-C4FE4076D659}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{6D161D3E-CA8D-4CC0-8C85-B5BFFB1F7954}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{9A3A6A6A-FECB-4F4C-88C7-BD5C05C09F26}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{7A777F19-9AE3-4AE9-8F12-DECB94080B03}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{1037F3D5-80AC-4FF0-A249-1F873A409891}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{AB0E057B-8D94-45D8-B7D8-BCB1618EA9C9}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{BB0A272B-D50A-47EE-A7B0-FDC58236A4DC}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{E96A7970-D6BE-456C-B1A3-F8C775B0663A}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{CE2C1A03-655C-45C8-A54E-D802C486610F}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{1C4C72D4-3ED0-4EA6-AEA0-850690E58C70}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{BD3B0E63-2CD4-410F-AA71-9E6C87B05A96}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{78C44213-B6E1-419A-A1FE-F1989A29628F}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{729CBFD6-94FF-4F4E-B770-AA6B6FA83084}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{9A0A8909-C6C1-430D-B43D-4C60E3D7029C}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{8D8934E3-F08C-4B0D-82F2-4E99B7DC1A97}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{D4F1C821-D797-466C-AE89-0538E4184D58}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{FC5936AD-0904-4227-BD26-E7FFFA0446CD}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{5C729C94-8C4F-418C-AE4A-2D7E24290D3C}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{6EE13318-F2FA-42BE-B288-02BC5E5858CA}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{759C817B-BA1F-43BF-BFF7-DD5435086B7D}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{301C86F9-542F-4FBF-9658-A9AEA489BEA7}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{15BEC13C-5456-4A50-9A55-F8D86BC3147D}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{3D836101-A184-4BE1-8D99-077551706CE5}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{8006EB02-6C6C-45C4-B492-3AFFE21FC3A0}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{95FAE2EC-AA06-4E4C-BF71-3BDB44B5FCBB}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{E7528E7D-A8DC-41A3-BE84-C0DA7765DA0A}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{9C430EAF-E9C1-489E-9C45-19577C05D1D3}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{E4B39E3B-FDA7-44F2-AD66-6DA3C64814C8}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{E221210F-7DDA-484E-A208-74CE2A7F6979}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{A8C415A7-A152-41FF-BC33-6B47F23521F9}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{77DF9012-2206-4983-8283-BD559F02FA87}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{0FAECAA0-6693-46E9-B5E5-3B5ABF7C80F0}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{BC41C1B6-AF34-4B3A-86CF-84C88EED48AE}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{C3C6AB2D-477F-4F43-8E82-D046D0708BF3}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{7679F348-00D6-4B3A-B1F5-6F5DCF75FDD2}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{2B0A2381-8943-4393-9567-9BE980A80690}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{4D1C8DEB-BEE1-4A7C-85BC-914703565AC3}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{84D64CFA-E3ED-411D-8930-CDB143CB2768}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{34E96A93-D1D7-4C97-B91D-C896C9A13169}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{2E0389F0-667E-46C8-9680-2519A6C1207B}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{21B38091-A5B3-46C0-A4A2-266F2F78D0D6}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{669F218F-549B-4204-BA01-443B2E02A977}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{66CD49C9-E84B-4839-BFA1-FD4D0547412F}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{CB232650-956E-4A17-9158-C4DE46C1601E}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{8D1895D6-6962-4FD6-B886-4B3C0D483D86}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{68A35DB0-41C8-4369-AB6C-9593EC4B0FF2}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{39CD79AD-4C98-48A9-B416-2223A0D586DA}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{F19182CB-626C-4571-99B9-C9C1CA97A3AA}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{2B597D60-361F-42EE-9CE9-B7402FD29A5B}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{794D97C4-91E1-419D-B20B-2747B2646976}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{0F378398-7C0E-44E2-9881-A03EFD86352F}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{5098E0AC-5D5E-40B0-ACAA-0E1ACC077400}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{AA23EEDA-B33E-42FC-9AAB-05B43A0B727D}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{2666A729-0019-423C-BC08-04D929C31C22}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{CAE1B3E7-15D7-4E73-9BE8-62375297F493}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{BDC742A3-6903-4A8B-9DDA-CAD8362CD4AC}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{D362F314-2777-4279-8262-3EBFEA28368B}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{F68F5D14-DA91-4F31-B445-CE3274119C9A}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Downgrades'!$B$29:$BZ$29</c:f>
              <c:numCache>
                <c:formatCode>General</c:formatCode>
                <c:ptCount val="77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Downgrades'!$B$30:$BZ$30</c:f>
              <c:numCache>
                <c:formatCode>General</c:formatCode>
                <c:ptCount val="77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Downgrades'!$B$31:$BZ$31</c:f>
              <c:numCache>
                <c:formatCode>General</c:formatCode>
                <c:ptCount val="77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Downgrades'!$B$32:$BZ$32</c:f>
              <c:numCache>
                <c:formatCode>General</c:formatCode>
                <c:ptCount val="77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Downgrades'!$B$33:$BZ$33</c:f>
              <c:numCache>
                <c:formatCode>General</c:formatCode>
                <c:ptCount val="7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Downgrades'!$B$28:$BZ$28</c:f>
              <c:strCache>
                <c:ptCount val="77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</c:strCache>
            </c:strRef>
          </c:cat>
          <c:val>
            <c:numRef>
              <c:f>'II. Upgrades &amp; Downgrades'!$B$34:$BZ$34</c:f>
              <c:numCache>
                <c:formatCode>General</c:formatCode>
                <c:ptCount val="77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{67623E3F-4FE9-4E77-83F8-5259DF653EC5}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{5BDC7CCD-8AC8-478A-83E6-BA6052BD3001}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{D1B966C0-0022-499A-840F-7B6035E33DF8}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{91780EA7-FD68-47BD-9C41-AAF2B4E763F1}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{6EC6CC18-AD76-4717-AD4F-B4F70B7F1C05}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{52829F74-71DE-42E5-B77E-3EE55B4E0DE4}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{372B6FFF-9CB9-4FC7-AE6C-CDB781C15ED5}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{DCEC9661-4E08-43B6-9853-6B42A5280670}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{11D4FDCF-8A44-4748-BFB7-2E439D5D64AA}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{3CE98892-C957-4634-9CF2-3E73AB72DCFE}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{577DA24E-C65B-476A-9644-4C0D2293BE88}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{10F4D3DD-D41E-45DA-AEEE-4EB074FF8E6D}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{5A52D01E-FE63-4D94-9236-F55B598D1D33}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{B1C22673-22AB-4028-98C3-E79A55E91BD5}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{1F693C4F-0DA3-4A94-9A8A-B756E3CEAE46}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{682FD947-CCEA-47DC-8B34-BAF4F3719952}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{9A22D53D-957A-48F2-905D-AA3416261D89}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{F3F7E644-727F-4CE8-803D-1FB5081395BA}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{67886C69-9765-4989-B58C-E39BC4F27FB8}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{647274B6-932C-4488-8C0A-BEC4E596E8D2}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{44ECA0B8-28E9-404A-998C-79949985FE46}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{9E20D480-B23C-4AFB-B003-CE1224789181}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{3092AEF3-69C3-4EBF-81C9-EA7DB9E89064}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{C6868948-E9F8-4FD6-8700-64DBD3843BA7}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{F195A231-B985-4D47-AC8D-55538D41BEAF}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{C248E57C-06B2-4F70-9102-6FE51F4F3797}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{DCF37C22-BC89-4E54-BEC3-97C8E41185FC}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{95B9D419-F224-4FCB-92A6-B2339A69A67A}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{93A3BE7A-C6C2-4F6E-8850-899223C7D693}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{A74B3F9F-0DBD-4318-A703-F0418C82037B}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{6DADA863-0D05-4A92-8DF0-286B82DF3542}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{695FCCD0-FD53-4CFA-BA65-9A5E0F5BC72C}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{C6A1992A-8FA5-475F-A3DE-E4294262664F}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{11D6DB15-7B40-4E9B-9333-F10B67F8D0E2}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{0E25F371-B827-4C30-B4C8-CF845BDCC0BA}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{0F3689FB-F226-481D-86E5-6367DC58D0CC}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{3C905FA0-BA5A-4D6B-8553-569A42DE7812}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{DDB81791-0398-4903-AAD7-47AC4A3C61A7}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{F7A5F8D9-B0C1-40EE-8735-E8BE6D7C641E}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{63B644C4-EEDE-4726-AB35-2E6F20979C58}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{1800BD3D-6458-4662-B428-3052BE65FDC2}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{ADD6A66A-8D79-4549-84C4-C52CBDFFE3DF}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{37BAE8C8-1262-4072-A4A5-115BB4010E07}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{C582CC1C-1DFF-4A8A-97AF-0DDF260254EF}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{D372F416-3AC7-4EEE-82A5-DAA6A1A5DBB3}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{4003623F-C1AC-40B4-93BF-FCAC018C4DF6}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{091D14AF-7DD5-4635-B8A7-D934F81A86F2}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{B7208FF1-65D3-4932-9D41-3F591CCBC619}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{1D048C84-1511-4710-82B8-751241D9D855}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{FCB0BF62-005A-48C1-B820-DCF035712D82}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{B4ADB233-0095-46D5-9201-371A2023FF5F}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{1E228FC0-6D89-441D-A45C-3F6A7DAB5473}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{43469E67-28E0-4F6C-AB0A-54D21492F0D4}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{22BBD936-802E-4D7B-ACCA-DB92A134425C}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{98B0E1DF-085C-4CAE-B16D-0F7CC87F53E3}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{CC21B32C-B14C-4B0E-8506-FA6BC4EB1449}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{9375C3AC-6F6A-4026-B827-99AB389CBD38}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{6BF86379-1A2F-43B3-A59F-D91F541B5855}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{158CFCAC-32C1-429F-9E8F-83C768E02753}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{DBBC9879-31EB-4AB1-97C1-E1AA95474210}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{BFDA22DF-987A-467A-B75B-B8D1724340E3}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{0D86D47C-483B-47CA-8FC1-050AAC10E88F}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{B3A23EEF-5C64-4F9B-A3CA-EFB14B8B6C88}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{BF96ADC1-3132-4443-AF2F-F467813A970A}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{C9C4C3CE-6F17-4A91-A422-9BBAF1B8B49B}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{3559E53A-47D5-4954-A1D0-58499CF9273B}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{D0D12F2C-CEC9-4E21-AED8-CA35BEAEB6B1}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{4D778BB8-5B16-4624-8212-330FDC61212D}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{0F61D80E-4FA3-4148-965C-75A7966E02A0}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{7F3D745F-78FC-4026-B9C5-5391BDF1E813}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{F9A139EE-0460-4A68-A69B-CB5259CF5C31}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{BC20AA76-A0F0-4525-8366-D8B21A8A32C5}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{1EC81FDD-A824-4FDA-BC20-2B8572096F31}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{69C054E9-9042-4568-8088-572D386F7D6C}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{8D4B4DA1-D6CF-403A-81B7-D0E94F198D31}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{E0256D63-3B39-4E9A-AE06-0D53A5E62CAF}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{6CAE9F2A-355B-4EE7-8B70-CD1BDD400E0F}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{2EBE1C46-B72C-4AB9-89B6-271FA2C7FBC9}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{8B74A009-0C9B-4D0A-BEB6-F8F34BEA8920}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{9AC9281A-17F4-4F8C-9DE6-C31EF60784D2}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{D7747497-8AA5-4206-9D82-AB90A9FB4927}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{E3138D0C-9931-4707-AF8C-13710D4D53B3}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{6BE2B47A-5847-4FFD-8617-867E306E451D}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{D215F8FF-1A89-4591-8992-9599CE4F0908}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{6BF48C94-99FE-4EE8-80AA-1C26C84B7279}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{1BDA887C-C68A-4170-9809-20F001C9D447}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{5B5BAACD-4F8B-461F-81EF-6CF1B6616F4C}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{3CD2831E-40FD-4804-8980-CDA0C49E1775}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{62B9D34A-5E64-4964-9703-70F8A1D6529E}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{8EA7BF86-FD46-41E9-8984-F63A8C675B7E}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{E43DC5E6-E02E-40CA-BABD-EA6CC4F52DEF}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{D8287836-070B-42DF-9971-0267EF637A92}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{8C444BAF-101C-46EA-BBC3-2E667E146BAF}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{0751DCE3-3E93-4755-BD93-BF75012EEA51}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{26713B95-96A8-4AC3-B5F0-C51A80934922}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{576E435C-FCC9-42C1-ACF5-C4C2D59AAFAC}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{F385F4F4-3BFE-4BD7-A7C1-60F30EB23E38}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{05B17573-E3B7-4E5E-A907-1E3365117FCC}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{BA2C0421-94DF-4C0E-91D3-2CE1F7DA7B0A}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{268B7BE8-B3E1-4C92-882F-6B25A571FACA}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{9E30CB31-1096-43B8-BF80-2B3295B31478}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{5FC387D9-2BB0-4E86-88EE-DA225F93F4DA}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{0C02D5FE-E7E2-4BA4-BD2B-8127582CF961}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{B3697D78-915C-4D4D-9899-9D9794D9D8DC}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{C5C363C9-0B55-4626-A325-FF1D3BAD2D65}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{6915C8F0-E740-41D6-9B66-E489C74E127E}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{F320D316-097F-4C8C-AD38-0F67B97DF37A}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{19A4EDC4-A99B-4BCC-8372-A0EF14EC8773}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{95137557-6147-427C-BE7B-F6B90BCC75B8}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{7C31A819-F6FA-4ACC-A415-F8D29B0AA3DF}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{6C1C744C-BFA3-4DBE-8837-78C872B2E560}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{1AF3C609-1E1E-4E5D-8766-845925BAB7DA}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{E2B04FD8-8CA7-4142-AF0A-64D882870D91}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{CC0DD6E3-683C-46D7-A16D-89E60D68450E}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{5C30CE39-DC78-4A23-8706-052129DFE377}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{CE69FE09-1077-44D3-B446-96AA6F30F334}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{9ECB8887-91D4-4CCF-851C-2252DC86E280}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{553D87F0-1948-430B-B404-7B00FF6D896C}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{52311B1C-9843-4902-B35E-B78DC33432CB}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{D7EEE4B4-8B8A-4B70-A95C-BB11BEE9A779}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{5FD30E76-41D9-4B5C-9F8A-E5F6ED0B4195}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{95103545-48CD-4188-A27A-BC46C608BED8}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{C486B5AC-CBED-439A-992F-5CC18D43D382}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{D14D8A3C-9D01-4208-8779-441B60B35B6A}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{6E74B1B4-0F3B-405D-9021-91AAA239C8E7}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{69E4EFF8-68E5-4F9D-BDBF-E76A4DB5038B}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{24AD6E59-979F-47BD-B871-91459E27B4F6}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{9E49BB91-62C6-4E72-BE78-836F328F371D}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{4E7C7008-1D17-48DB-9E6B-0BE90815BD67}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{F472F6E2-8FD3-441F-97D6-B11FD2B5DCA3}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{0377C054-D85A-4631-9AEA-2514DFEDC30E}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{EC7A830C-5AED-40B5-980A-174DB7578C18}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{FFFA7AB8-C77E-425F-9351-D52E68F6D2F5}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{24F6F9A1-5C04-4B7C-88FA-4D6902F9925B}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{9C47E3B2-4DD7-4795-A2C4-8725FB938A84}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{0612D0B2-FF75-4E86-A5AD-1654BAFB8D68}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{F1827435-8A28-4835-BC80-F1EA9AB2A141}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{18E51B90-C346-4167-9C91-CB660EE80B5E}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{A501762D-24B4-473E-A6F7-783231C78CD6}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{68FD98A7-C79E-4E58-A91E-32328DD7D467}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{E502955F-9B8B-410F-921E-78D8539F8D30}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{C2BA432A-937A-4D83-B234-911506B4EE84}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{EDFF30A1-4FB3-4F6D-B6A2-90637CBCB044}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{78F03A2F-96A4-440A-B4B7-A1AF98F8CAD5}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{FCF74E1B-D1E9-4ECD-9167-A79A9DA14E2F}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{BC427AE5-495D-4AC0-BDBC-9184B59868AA}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{A92DA822-5302-45F4-B27E-8C66FA73F672}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{08C7C534-4675-4649-A1D2-2A2BDC3EAAA7}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{215A4753-FC8B-4F44-AE56-BD2C16DFF175}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{2F9A0E03-A38B-44B2-90F5-BBC13F5B376D}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Action'!$E$13:$V$13</c:f>
              <c:numCache>
                <c:formatCode>0.0%</c:formatCode>
                <c:ptCount val="18"/>
                <c:pt idx="0">
                  <c:v>0.13833992094861661</c:v>
                </c:pt>
                <c:pt idx="1">
                  <c:v>0.46363636363636362</c:v>
                </c:pt>
                <c:pt idx="2">
                  <c:v>0.60330578512396693</c:v>
                </c:pt>
                <c:pt idx="3">
                  <c:v>0.60909090909090913</c:v>
                </c:pt>
                <c:pt idx="4">
                  <c:v>0.60330578512396693</c:v>
                </c:pt>
                <c:pt idx="5">
                  <c:v>0.48</c:v>
                </c:pt>
                <c:pt idx="6">
                  <c:v>0.40350877192982454</c:v>
                </c:pt>
                <c:pt idx="7">
                  <c:v>0.36249999999999999</c:v>
                </c:pt>
                <c:pt idx="8">
                  <c:v>0.65</c:v>
                </c:pt>
                <c:pt idx="9">
                  <c:v>0.48684210526315791</c:v>
                </c:pt>
                <c:pt idx="10">
                  <c:v>0.75</c:v>
                </c:pt>
                <c:pt idx="11">
                  <c:v>0.97169811320754718</c:v>
                </c:pt>
                <c:pt idx="12">
                  <c:v>0.7</c:v>
                </c:pt>
                <c:pt idx="13">
                  <c:v>0.73134328358208955</c:v>
                </c:pt>
                <c:pt idx="14">
                  <c:v>0.73076923076923073</c:v>
                </c:pt>
                <c:pt idx="15">
                  <c:v>0.44086021505376344</c:v>
                </c:pt>
                <c:pt idx="16">
                  <c:v>0.61111111111111116</c:v>
                </c:pt>
                <c:pt idx="17">
                  <c:v>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Action'!$E$16:$V$16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'IV. Direction of Rating Action'!$E$9:$V$9</c:f>
              <c:numCache>
                <c:formatCode>General</c:formatCode>
                <c:ptCount val="18"/>
                <c:pt idx="0">
                  <c:v>2003</c:v>
                </c:pt>
                <c:pt idx="1">
                  <c:v>2004</c:v>
                </c:pt>
                <c:pt idx="2">
                  <c:v>2005</c:v>
                </c:pt>
                <c:pt idx="3">
                  <c:v>2006</c:v>
                </c:pt>
                <c:pt idx="4">
                  <c:v>2007</c:v>
                </c:pt>
                <c:pt idx="5">
                  <c:v>2008</c:v>
                </c:pt>
                <c:pt idx="6">
                  <c:v>2009</c:v>
                </c:pt>
                <c:pt idx="7">
                  <c:v>2010</c:v>
                </c:pt>
                <c:pt idx="8">
                  <c:v>2011</c:v>
                </c:pt>
                <c:pt idx="9">
                  <c:v>2012</c:v>
                </c:pt>
                <c:pt idx="10">
                  <c:v>2013</c:v>
                </c:pt>
                <c:pt idx="11">
                  <c:v>2014</c:v>
                </c:pt>
                <c:pt idx="12">
                  <c:v>2015</c:v>
                </c:pt>
                <c:pt idx="13">
                  <c:v>2016</c:v>
                </c:pt>
                <c:pt idx="14">
                  <c:v>2017</c:v>
                </c:pt>
                <c:pt idx="15">
                  <c:v>2018</c:v>
                </c:pt>
                <c:pt idx="16">
                  <c:v>2019</c:v>
                </c:pt>
                <c:pt idx="17">
                  <c:v>2020</c:v>
                </c:pt>
              </c:numCache>
            </c:numRef>
          </c:cat>
          <c:val>
            <c:numRef>
              <c:f>'IV. Direction of Rating Action'!$E$14:$V$14</c:f>
              <c:numCache>
                <c:formatCode>General</c:formatCode>
                <c:ptCount val="18"/>
                <c:pt idx="0">
                  <c:v>253</c:v>
                </c:pt>
                <c:pt idx="1">
                  <c:v>110</c:v>
                </c:pt>
                <c:pt idx="2">
                  <c:v>121</c:v>
                </c:pt>
                <c:pt idx="3">
                  <c:v>110</c:v>
                </c:pt>
                <c:pt idx="4">
                  <c:v>121</c:v>
                </c:pt>
                <c:pt idx="5">
                  <c:v>50</c:v>
                </c:pt>
                <c:pt idx="6">
                  <c:v>57</c:v>
                </c:pt>
                <c:pt idx="7">
                  <c:v>80</c:v>
                </c:pt>
                <c:pt idx="8">
                  <c:v>60</c:v>
                </c:pt>
                <c:pt idx="9">
                  <c:v>76</c:v>
                </c:pt>
                <c:pt idx="10">
                  <c:v>80</c:v>
                </c:pt>
                <c:pt idx="11">
                  <c:v>106</c:v>
                </c:pt>
                <c:pt idx="12">
                  <c:v>50</c:v>
                </c:pt>
                <c:pt idx="13">
                  <c:v>67</c:v>
                </c:pt>
                <c:pt idx="14">
                  <c:v>52</c:v>
                </c:pt>
                <c:pt idx="15">
                  <c:v>93</c:v>
                </c:pt>
                <c:pt idx="16">
                  <c:v>90</c:v>
                </c:pt>
                <c:pt idx="17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{8B2946A5-1411-4C35-8B6D-AB13D70D1955}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{1ACDA61A-DFED-4A27-B2B2-2B5F7277E915}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{98168B99-8B35-4AE5-AE45-19BA9AE797F6}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{0A7C28A9-796C-4C91-B536-454412DA8290}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{1A6B9283-52AF-493E-A670-282B2737863F}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{A20B0422-EF5B-46AF-9F7A-5AD2AD273042}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{B46D1597-ED93-4B53-A617-81234B3B78A1}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{D1AD368D-CFE2-4432-8372-D7E37F18185A}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{D0F39632-5CA6-4E02-9ED8-CC0B34764E01}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{512DCD35-50EC-491B-AFAF-0518B608B506}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{EFB0FF32-2179-4E59-A0F1-0B25EE0376B9}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{1DFEC67C-BBA4-453B-8E36-235E0FA731C7}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{FAF757A0-B978-45C2-9271-3C36343D9886}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{BD3173E0-6BF9-4983-BCFE-A8F1D2366B0C}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{D452315A-2B80-4ACA-9CF0-891FA37DE7C0}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{84FF2D68-28C8-455E-9B70-95080E9B54AD}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{7069F34F-2EB1-40D2-BB29-37FF727159C3}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{C3338DE2-9B99-45D5-9466-8F6B0C4F4FC3}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{E26ED13B-3B51-4233-9931-75A954C62C71}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{D63E9159-9B56-4872-A4E4-900DCAF8A06F}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{1DF5D242-2861-435A-B399-E874D434AFBF}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{882A737F-95D0-4E5A-B0E5-DEFCA9836930}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{B9B3B823-9A5E-4151-8BF4-3C88E3C07D68}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{66BC28E9-CCB4-40AD-8C02-48900EBD6064}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{D5EBCF25-729C-4B5D-A63E-778C21E2AB81}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{9E9E7275-B270-4F03-9413-51B4D1B92873}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{F6CA34B0-52E2-4811-A199-9DD3C5C5B37D}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{29671BD5-C07B-4C64-9B95-E37933B73507}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{D22A6A3F-EEEA-4E34-8ED7-2258C2D8E030}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{ECCBE6CA-D812-4ABA-B387-D9C3860EF9B6}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{DD73A7B4-C328-4E9B-B895-B3F1C102A74E}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{FC3B450C-808A-4AFE-91A7-DD726CCD38E8}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{163EFD14-4384-4964-9CF4-89A50750845B}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{B4B61D48-DC2A-4FDF-AEAB-C427A103397F}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{28E3F8EC-8E5D-49DC-A14D-EDFDF9C54377}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{9B9096D4-B1B1-4239-AFA8-E9F2A6E9EF7F}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{6122DD7C-CC8A-48F3-8E47-76ADC165F483}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{9712DC5B-639F-49DA-A027-680068E7A7D6}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{BCDBFD18-2D1A-4229-9DF4-16D5D6B44A45}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{3C983228-FFEB-4D91-8A72-08BDF314ED3D}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{2D6DE3A4-8CAF-4FC1-9BF9-D0A657C526D6}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{5A9CA059-54F4-47D7-948F-AB1631F21438}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{AF11A928-ACE0-41C4-B240-5EA7B8D85376}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{F380DB63-8D45-449B-9D7E-B6944A06016F}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{4BDFA6AA-B97E-47DB-B0E2-8B454229D4B6}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{C4CBC89C-4D4D-4F5F-ACB3-5E8430193E44}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{1234B07B-B633-4E7A-BD54-9D4D7407693A}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{4CBF76EC-ACEE-4CA5-9EF9-40734C0A44BC}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{0B7A9715-DFEA-4448-82C9-28DC9CC41F17}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{3F6852BC-FB59-4BD4-837B-E788B9324CBF}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{30B4CEC8-6959-4FA5-8CDD-980C17A79D5D}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{52417889-A2CD-4570-B852-B06FBB10DEA3}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{03920F87-3095-4EB5-8626-E3D027B5B7FF}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{C37982AF-D79D-4097-98A7-0AB24F6BB3ED}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{E732A464-227D-4546-85A2-B57C0877E0AD}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{41FB1727-E96F-4F6B-B708-65B49926FE85}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{4593737D-5903-481C-BDCA-BEC01918CD26}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{88C371D5-BE06-4449-8130-18FD125F11D9}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{EA830A75-237F-421B-A9B1-4ADFE94E0E91}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{69E2BC66-B1B1-464D-92A2-FC7F60F201DA}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{F400F46B-6194-4FC6-BE5F-E0490377BA47}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{BF2D79FB-D81D-4CFC-95A8-3F70A7E4D908}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{C2A24D69-24CA-497C-9789-1590CFF142F1}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{9826AE59-BD13-4372-B361-5EF46B25F673}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{D68AC0F6-1763-450B-9117-6AC52171B22C}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{5565046E-84DF-451B-A977-A4C2A489EA02}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{3BA00AE6-1E9C-4629-BD89-13338C0509EC}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{A0B0D3C0-E156-4518-9593-0D7B99D72793}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{A6FD6189-D113-4F45-9010-2102BE785280}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{B7751040-7A7B-43E4-AF13-2F3216035C2E}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{29CD21E0-8D7E-47EE-8ECA-8736620E308E}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{50F9CE35-6C3E-4334-96D8-32EC5D0502C6}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{282B330D-48EF-403F-952F-B11AA1D2ED91}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{62A3FBD6-AFD6-4D9A-9FC8-EBB8A9B0BC9C}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{F9928C4B-6085-43D3-A55C-C4E193B4B17D}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{7FDB3E17-0440-42E4-9912-29C3CEDB9AAC}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{659E257A-8F08-4B62-83D7-AF670CDEB1CB}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{6D13C71F-DA51-4A7E-87E5-A774CA1F4DAF}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{5E7030EF-9997-4CAF-9D40-E261851414A6}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{8157F431-4AF6-4FA2-8C1F-68EA872D001F}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{16BF0F13-1F6E-48F8-8C5E-334648C7D8C2}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{14477B5D-E614-484C-891D-D3E5D1652162}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{89428B12-3C89-49A7-BE31-66BDC9CAB6C5}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{0BBA985D-C37C-4E97-8614-496C356DB507}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{7F0F1991-13D5-4F92-B226-0A1F3E1979AC}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{3A6F5C2A-9BD4-4892-976A-9423F090FA4D}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{5F115570-7D39-4ABF-A129-8F3D99E57CCE}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{8CA89361-9CD0-4AB8-9B5A-6CC8BEA4452E}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{0A71A8B6-794C-4A9D-BE12-377DFA98C0E9}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{E1E96621-65D5-487F-9B77-D7C5710AA914}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{AEECA566-9498-4303-883B-900A8922D512}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{792684F4-187C-438C-87E5-11E4B9C033FF}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{080516B6-DB34-478E-9412-4CA3F833D84F}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{38E01BB6-9E7B-4863-9A68-172ACC9CA564}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{D0D8174B-D7E4-4082-9783-CAA85AD68B0F}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{05AC4388-A9AE-4291-9BEE-589F04A0F68B}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{31532FFA-20B0-4475-9480-9275BD852B8C}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{619D7D6A-DED3-4916-B1EB-D61ACC72BC43}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{2903E828-6979-48CE-90E9-F7C6C708C56E}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{65E2A9A6-1A76-4897-9B89-6F5F1FD30100}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{6BFCC74C-3DC5-427A-B7C3-1F93A0B13DAC}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{DF4FA0A4-5F82-48FF-84FB-6F0F71B41AB7}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{2929CE35-6A16-412B-9F57-89215C946A16}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{D2F7B9C3-65DF-40FE-BBEC-0579DAA231D6}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{B43C7D65-73E4-4FC9-962F-1F36F46A0B20}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{47FF090E-5956-4898-9FB6-47BF99913398}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{02FD91CE-18EC-4AAA-9547-A4F9440FAA77}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{F1AF225C-983E-4EAC-94A2-4565668FC975}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{9C5AE4E5-AAD6-4F78-920F-90C087A57FEA}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{C357D484-ADBB-4AE1-B11D-8B52C2A4EEB3}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{A32903AD-A200-4265-A66B-F69685B94ADC}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{2EDC8D51-4395-4184-B84D-D176E2D51F48}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{117F2CF3-5145-452A-BBF4-C5960BBA355E}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{A38D80CB-62F8-45AA-B891-EDCFCF52F6AA}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{92A6A102-84FD-48C3-8621-ECEA26205DE9}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{A5780079-7BAB-4E7C-BFEA-01F2882751E1}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{F88C20F9-A2C3-4326-A05F-7DC9A54DAEBE}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{A816B179-2C95-4A75-BDDA-F301634C3926}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{AA4DA96B-929B-4F1C-A0A3-DDC455D4FF62}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{AB907CD9-D641-45A2-84C5-E049B572B1DE}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{23477D4B-3F42-47A4-A815-537A2529913E}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{C706C580-DA1E-4A48-A68B-FEB331489BB9}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{38CA21D8-FF33-4C86-94E9-9CE7B3445871}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{402B93BD-47BC-4DC7-AFBB-72AFF9687BF2}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{C1B31939-E727-4602-81C7-9F525A6ECE86}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{4ACF5410-AFCB-4CD0-B983-A2429C563005}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{8DB5E2D8-EBA2-4687-BE9D-A7ECA6B57952}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{89DFCBD8-FD4C-4FA4-ACA4-660C4B8764A9}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{A7D641AF-EF25-4509-9F10-CBB7F8BA785F}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{3C2225FE-CFAC-47AE-80A6-D32540AD3EC4}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{598D4702-8716-428F-A56C-1D7EAB68DA6E}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{1FD9F584-4CE0-4F88-AB6D-CD8550903122}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{C8458CCB-64D0-41D4-8D8D-F489DBB00DF3}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{3C117884-9CE6-4FD6-BE31-2A8CE5B03469}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{A0F8B057-B496-41DD-B421-1E9FD3997946}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{52BEAB5B-CD3C-4E6C-9E0C-1F09285055EE}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{81FC5732-DB99-43E4-8832-D17AC21F25BC}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{A0DFD403-DECB-4DFC-87E0-991CC86F9070}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{A763309D-2EB4-4D81-BA87-18A0657C7054}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{FC7704E2-B3B5-43A5-82BB-AAEF57B5C533}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{6921F9EA-1ED9-45AA-A0B6-73BAA2BABD7C}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{937E0E55-AF51-4E3D-973E-90438242E09E}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{688D9B10-65BD-46FE-9BD2-C048AD21F21A}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{42ADA494-96D8-462E-B4EF-25A0ACA089EA}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{2C30C29E-A64A-4C31-BD60-CD4B2704C102}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{E19982DD-F5A8-42C1-AEE0-60CF706E5D70}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{24206FD8-ADE9-4E31-8612-C10272661885}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{508DAF53-33EA-4D4D-B815-365BBE341F5E}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{BECE3F4E-27EF-494D-B10E-283DA0EADAA7}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{BF7BB3D2-12D4-420B-AF23-9E93928BC8FF}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{5EDEF3CD-D652-4121-8626-424D9103D62C}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{DB997F40-320E-4BB3-AADB-846AA4C02B96}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{86DBE86F-E8CB-48E5-88A9-D2C476A6D698}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{D565905A-D4ED-4E3B-A37A-09B48CDB9350}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{011D3328-FDC7-4694-B37D-F6854BA4347A}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{D08696E1-FCEF-4DAA-9BAB-9C8C2C007A98}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{66695B02-2FEB-46ED-84AD-7CA0E39FEF12}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{248242BF-99C3-4B9D-A333-D31A2C98EAD7}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{E1BF796E-9CF6-4286-8FDB-E32C5347E8B2}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{FFC7168C-9EE6-4857-8A1F-1F39D7773496}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{BA5419EC-C5ED-4416-92C0-75A23B7F6157}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{463CE4B1-F8F5-497F-8E1F-55A08C520C80}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{C2804709-6E73-4455-B021-A30DE3BFC1B5}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{1C0A3F3E-CF22-4D50-90E5-78C4A4F7D66E}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{7ACBE660-30D1-4C09-9BD1-BB5EB2CA2A8C}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{68D8D648-375B-402F-9771-3FF626F19BC1}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{C2BEB171-59E6-4E08-9524-D6EF5777413B}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{2DBB4BD2-A8D8-488F-BD11-9146601441D4}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{AE6F59C5-593B-452F-B78A-4CD22243CDD8}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{4016A750-147E-4657-8381-7D4ADCB38459}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{9F6F65CA-BA79-4318-88F5-D6B0B962967E}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{5DC6A9CF-0B38-4DAF-A080-50D4C24D3C68}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{A7D27C77-8757-49A1-B241-DB0A08963E95}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{58750E54-0DA9-4563-96B2-9082ADD73394}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{E481BCD1-6FE5-49AD-91C2-157305EDD245}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{1725C7C9-882C-45FE-B1F4-B03397AB6935}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{A86C34A7-D9FB-4255-B0F2-746D0CDCA928}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{9BCD2CAC-A6A4-4547-BF9F-AC3B4540B792}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{684B8622-072F-4760-8980-1B5B678A1E8B}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{72CB1187-55C5-43B1-8642-760916277D40}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{EE573422-C69E-48AB-BD5A-DEAADFE0F7E0}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{854A5FD9-3C58-4D1C-B80B-4253C7228D6D}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{AD325B31-E994-4037-8487-D66C40FF3408}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{C58FA253-8C57-4785-8A98-4B5A9EBBF05E}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{F89EE337-E829-48F9-99A1-9D7433399867}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{D0FF2A09-904D-490C-9673-FC48EED928FE}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{3504CAAD-C1EC-434A-8EF2-B6B5DEE89D8B}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{61890C1C-91BE-4F51-8CED-35FAA87A8EF3}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{862FD3E4-CF35-435A-BC8E-1D5D7BEF974A}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{4297EFDC-FFCD-42B2-AFE7-0FA527064ACF}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{69599E97-6558-4F24-9BF3-EC3DAF59DA7E}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{54DA0A44-0E26-43CC-BC3D-46315A224D1E}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{66F513C4-75F6-4164-AC89-D736E49CBF88}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{8DEC7D43-5D92-4F1C-B417-71E70B84C353}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{3E7A8319-6F11-403E-8711-F674048EEC23}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{E2767207-4D6E-4DD0-ADA0-8E97C0AB78BF}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{222C2B6B-CF4F-4951-8AF3-2452F77D8F58}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{ADA727D9-E5AE-47F5-B8CD-628FE3A5AE27}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{A1B8A671-A784-440F-815C-8ED5C8F2FD97}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{00EB34AD-FCDC-4EEC-8485-AB3307B58F29}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{EF0A7725-CAE7-4FF0-832C-1AF53F2EE29F}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{7F3E036F-942A-45A0-ABB7-928DEC6A71F6}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{5B253FC2-B276-4C2C-BB83-B15FF9B34ECB}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{CB6A9FBD-DABF-4C9C-AD19-805A908A1755}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{7D285825-7248-4D9C-AE80-59604FF13B4F}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{68A77DBE-F4EA-436E-B50C-3377635358DE}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{137F53AF-8FAE-4E0D-B4A7-231F45704984}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{38676FB3-5318-4999-A814-4F805C1A04C7}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{BE8E2AF2-4E1E-42AE-8172-8FE2AB8048AF}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{C3B90A86-B627-4A6D-9748-63A32D9AD7A4}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{F4ADC521-2C00-41A4-8F14-4C3B20A06093}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{8A858C49-10FB-4B95-8FEC-7D9C5E47AD79}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{84EFC2DE-D230-4445-A73E-4E26844F6FF2}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{3088B078-EE55-460C-B88B-679BC2F442A1}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{2A260EA8-32C6-49D3-8AFF-9A82375C56B6}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{B40D9FF1-E3B8-4A89-870A-7AA57F8FC73E}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{EB4681A6-0029-45A2-B12A-64F4B6729CF4}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{EB8F43B4-872A-4869-8E67-3D6473A7800E}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{9F1EDD8E-FE36-4214-B6A6-BC03D29AAE0F}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{16B2E2C2-D7AA-4D17-8C90-365ED48C8AA8}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{02AF9078-B3B2-4B8B-8765-98BDCBDB68D5}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{0892817F-CCEB-45C4-AAFE-F60B4A38790F}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{6D952988-5728-4254-9F17-5F8BDEB2CF2C}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{5B05C90A-B532-4AC7-8244-D58AE72BB4DE}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{ADC69DCF-3083-4D26-A275-C855E2615C29}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{55CCC4D6-49EF-479A-9AB6-2DD12BB00116}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{5D4DC889-1541-4AD7-A6E7-57A588FB7559}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{CF58DB5B-A533-4ED5-B7D9-12FEE66AF1EA}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{5BF13579-C131-4EDB-9986-BB08F6991556}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{1A0108F0-2149-400F-B25C-7494B8FF7DEF}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{398AFA4A-FF18-4A9E-885A-99EE4253E9F9}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{1389651E-3962-4A26-B93A-8CB80D05BCBE}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{501B696F-27F1-429E-B6FB-DBC3CAC1845E}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{5395097A-6A16-4184-8A6D-254FAE1359AC}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{02C6426C-B459-4051-917C-EA3221FA0604}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{A7B51CB1-09C0-426C-9C8C-26BBC731153B}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{E58F885A-A9BF-4483-906D-3525236C3736}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{99443EC8-3DD9-4A54-93EF-EC22B1694E2D}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{DD0BF6F7-D49D-4F7C-8747-704203938A71}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{0525DD5E-E695-45F0-A2BD-0EA0AC14AA9B}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{D7B41CC0-F5A7-49A3-84FB-7DFB5436F13D}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{21D55F09-2900-4F76-A2B3-60DED461FC8B}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{3653AFB6-DACE-4016-89D4-8A64653C07B9}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{012F6D16-45B9-4489-99DE-4B23EC38DC59}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{12A80F7C-83C9-463B-8948-7573FACFC0CC}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{22B0F6F9-AD6F-4FC9-8BD9-7B6FBF4B43E4}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{22C030A8-4BCA-43F7-9AE4-AC08462B166B}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{A91CA108-F2F2-459E-9ABF-E69D0FFC33C9}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{1E7BAA88-FC20-4F76-9C6B-974BE9ED0867}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{0CC09A67-E626-4FC0-81F9-7E8CCE7D03B8}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{25C3F93F-49AA-44A5-9088-2771ECF3207C}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{336B8906-4F73-4053-A6E1-D3D4A3B35F18}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{6040C97F-5A93-4FD9-A7AD-2C9FFEF5FED9}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{101F38C1-4A75-4D8C-99AA-E0A43775230C}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{B3E179FF-BD71-4DE1-B643-D8FA59CB44A4}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{9A65395B-DE2B-4ED3-98AE-02C9C6F589F0}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{DE6B1C42-3067-4357-8262-CEDFD20FD26B}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{58B26308-1C4C-45B2-AFCE-39DF13705E14}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{552C68B3-4A80-4ED8-918E-A6AD533C483E}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{E0710651-7C77-4644-9F42-550E31742534}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{E6C59607-7531-4A8D-AF45-F398E72CC11C}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{D1257B88-2E40-4EF7-8B52-E906522E9A68}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{A818B9E9-846F-4402-A1EE-69BE965F6C07}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{B44E9504-D93B-4CF5-9807-5A4F86A8BB68}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{7F94793C-E986-4E70-B467-9EF077ABBCD7}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{9EB4DD57-F096-4E78-B5C1-FC97E6D63EE4}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{79E50C64-FBED-43AD-ABCD-D0A131A2E7BC}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{91FA23FB-EE94-4DFD-AAAA-37096C128472}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{D60DE642-A2A2-4ED2-BA84-AFD1749C4150}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{BE71CC47-24AC-430C-A529-ADA02BA5D4BC}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{D93CA344-70FE-4BCE-84BC-88A8CB030A8F}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{1CC62A6F-49DE-4DC6-8A0D-09F2A30C9541}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{BBBC78A1-CDE7-4411-BA36-A833A4A2CD25}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{EE89A1F6-9690-428C-ACC3-691982BF6307}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{5FD5BB63-2C9F-4356-B24A-3F39F94B97F5}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{B038A17D-F0F7-4561-9FEE-E837AAAB8E84}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{9A1F43FA-2F7F-4F6F-92FB-996BFC3429BF}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{814711E0-1C55-475C-9240-77144F863EA1}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{0B50F5E3-024E-479F-9477-D780F9F8FD41}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{5F551C6B-AF05-4D16-B0F7-0E70747B000A}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{3C80C435-FA4E-4C5E-B623-5C1327CC385B}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{6A0A685E-F1A5-492B-B3AE-3FFC2533A1F7}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{4DE5B343-B7A2-4AD0-9691-B1319A334A28}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{D94FD7CA-1DBD-4B68-881D-9D125CD170B3}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{5C84EF04-081D-4893-94C2-5120A9CE2E73}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{6769AFF2-1D5D-4232-8789-23DF6C9B3CF3}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{F13F4A7A-D845-4753-8DA8-D450C4368797}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{F0AB4CCC-727B-4E08-ADA6-FD6C9A2484D9}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{28030BA5-130F-4D41-9419-172A98506F9E}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{AD69A71E-7AFB-42B5-83B4-27F94988320B}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{18F2B4FD-074D-48A6-B740-83723DC74F02}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{637E9C2A-4BDE-4CDA-9C95-FA0C40936A74}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{111AD8B4-0554-42A8-8CBB-693B3DB62F6F}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{03DC51D6-8308-4CC5-B027-6220F49FAC1C}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{DBA0FBC0-1635-4480-851B-254E65874C9E}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{AD67765F-FB81-4DCE-BA3C-0D0FA3FC9CB9}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{D54CE254-E6FA-47D6-80FC-FD00456D8082}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{F6FA6EF6-D6D5-4016-87D2-5E3184AB61B2}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{3CA4DDD3-EB41-4DA7-B8FB-9E18C2DCF44E}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{FD24F19F-0419-4F87-991A-AEF113246A53}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{3AE9400A-BEFC-40B5-8BBA-FB6D95AA84D9}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{84E69427-C061-4466-A2AE-056C845B584A}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{2D67BC07-518A-42ED-9C9C-8F2B2964F5DB}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{735CE862-6FA5-43B3-9833-F67CD8597410}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{D3EF4317-74F0-4B90-9F6F-10792AB1F34B}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{457E8196-6B0B-467F-9009-E50F12D90181}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{B923ECF0-EC0F-4F9D-BAE2-DCD5560AB510}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{B037D0DF-F715-4EE7-BD1D-FD19630112F3}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{E556A4A3-FF52-4241-8F1F-4A729E59F069}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{3D44C798-1DD3-4777-BFEC-4F9D641637ED}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{F934AFC8-547A-4A24-AB2E-C9A94A2F97B6}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{0087A4C1-3869-4B38-8DC6-33213494E4BA}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{C2B9E078-7D52-4A29-A83C-748CCCBED8F6}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{7D7E6C69-FAFB-45DA-86F0-C9AE1E87C2D7}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{996F7DE7-5329-4990-A0A3-64839D6D3919}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{B9D41B6B-FE04-4110-86AE-EE98514343F7}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{700020E0-895C-416B-9434-54C3728D192F}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{E602727B-67EC-4AAB-87D4-0052D9A75B21}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{59727BE5-635F-4A65-A8FA-DDE48C3BAA4A}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{A187932F-AC2A-43AB-A68E-2D9D135DF61D}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{39C44599-42E2-44C9-B2FB-76AE3C21EBDC}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{91FD4639-CEA3-4EF6-B8D1-82AA04DBA301}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{D576CC91-3C2D-4226-B96F-86D0A9CE2444}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{B18A8308-2F8C-4329-88C2-4DCC38B8E78B}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{5663C3B6-966D-4842-A4FA-5618089A55BA}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{71CE4C0F-1618-4C06-8EE7-78217DCB7B41}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{57418AEA-01BC-4841-B227-FAF14EFBB277}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{D3F2A1B4-7A6D-42AD-A878-3C9B642EF2B5}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{AAD7DCFC-FB3B-4CC7-AF5C-CCBDC1B0890B}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{C0597EF0-36F5-4CBE-A889-A3EB8CFC3257}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{E842C294-E27B-4F85-9959-A6A29FA6EEA6}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{306B963B-6DF1-4C04-B1FD-5679A4769204}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{217FC7C3-07CF-4DF7-873E-5223922AC0AA}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{1989B650-BB40-405F-BDA5-EF7AA04EC4BF}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{522931FD-FD00-4795-8BCB-BED6FFCA9ECC}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{A8A3EC16-563E-4B05-8953-F3B585CC9F83}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{E61B14FB-015D-4282-9F3B-6C15B478C8C7}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{4071A28F-A518-4DEF-954F-6D6630D99F25}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{529F967D-9A9C-4E2B-9844-8E190D6EF7C8}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{C3AA1E8E-7831-459B-A166-36665747C6F3}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{734DB6A1-8196-4871-B831-8B364783827E}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{5B32E519-7BCE-4161-94D7-88ECCACEE8ED}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{95173E1C-C358-4578-B71E-A501513F05BB}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{B2DCDA09-2AA1-4A9C-91D9-752CD011DA7B}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{47D31DC1-52C4-47C0-B45F-084DE06E165D}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{AFE7ACD1-D133-4F89-BA9C-DDE3256F87D0}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{BA09B510-05BD-4DFD-B555-8C671FB528B0}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{DC373131-20DD-4109-B99C-1641BDF3795E}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{5661F02B-2B5B-44B2-AF99-92C56B5AA9CC}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{F84BEDEE-A546-4944-8D8B-DAAD0D9083D7}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{3DA265CF-F04F-4234-9C96-0FE252408E61}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{58EE4D90-23AA-476F-8F76-B112D5C50AFF}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{F7996648-1E0E-4B37-9F79-6A1711183630}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{DF7B21B8-9447-4B4A-AC41-7F04C2444246}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{C31F4CC4-7C4D-4D45-A9EE-EB98AC2423CC}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{B3A41100-8404-49D4-BCA8-8297981A7357}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{F238F3E6-2279-484B-9E10-24FC6FCDCA38}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{84CD3CAE-4BE9-4FD6-8FE8-A9418021688B}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{B95D7410-D622-4F97-A9A6-76CC89BEA11B}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{CA774AE6-BB4B-43FB-AD56-C0572188AAEB}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{4075F78A-DB58-46B1-BD0B-641D5369F2E6}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{B622B22C-3C9A-46A6-8CA1-2BCFD568B93E}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{38776450-2763-4660-B7F1-4D487803B647}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{9473E928-AC42-4FF6-873B-5DF728674885}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{8D48142D-F30A-4130-B700-9A2F0B05B348}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{C273BC3F-A177-404A-8408-719659208018}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{E77C73D4-0EF7-43A3-BA9C-85239AB0C272}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{9D91BCB6-3B5C-49C2-9DFA-58C4E6E8F0FE}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{3940F65C-7F45-446C-8D04-089CE923B879}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{0B98F697-445B-4E44-B182-7A86859ADBA6}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{6A162A67-A2CD-42C8-BF58-67536FF39035}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{5BC7EB1C-E647-4658-8BC8-CF880C218B19}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{B1C6EC83-1772-41F7-9D93-AF93A8E01D1C}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{5CDEA674-0ACA-4AA4-A2C9-710035722741}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{8BD261E9-D3AA-44B0-864D-D5F541E8BA90}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{432A8C19-808E-4516-94D8-2AB485369E76}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{0CEDCB0F-9201-4E8C-986D-DCDF6C5F129A}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{4A672582-6329-4A90-9EA5-55D6AC8EDE8B}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{2A926131-F5AC-4631-8D6E-66EFA5FC940E}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{1740A849-8ECE-4106-A1F0-D89282368CCC}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{940C97C1-4E2F-4BE6-BAF8-F0C910586C4F}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{E16DD696-FA95-4BF4-83E4-B6EB83016EA5}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{9B2D9E62-AEBE-418E-8B45-008AAE7904B7}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{77757D56-27E3-49E4-A20F-41E65F67EBE2}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{16202ED1-0C0B-4E30-9C0A-D3DB2B798645}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{56CF9BB2-DF40-4F18-8BC2-75618D5A864C}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{893ED01B-661B-4644-90B4-6252BAAD2AF2}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{4BA0FDF4-B658-4F19-9995-A657B7A002CF}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{594216EC-1294-40B2-80AC-2EEEE4C9D7E9}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{BF3FD586-2ED1-45C7-A619-CBB12D2C1475}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{F45A94A5-F112-4D41-B81D-573AE01BDB45}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{B375E9B8-7822-4D6F-A691-FE0FB6ED5138}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{2E69BBB8-CE5D-4223-B3B0-26ED9F989CE9}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{7D08B0D5-9546-4EE3-BBF5-A0CF82975FEB}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{7E3D66EF-B826-492D-B493-4C8E7D6A766B}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{0C03FFB3-79BE-4DDC-ACE3-44CB3CA8D990}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{DF01E9F2-F117-4BC7-A078-1A5FA4368286}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{40648B03-FDB7-4B67-87E0-0FBC9C8B0B88}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{030395D6-46EF-4B63-BA5B-61020E538638}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{C29E2C9D-7F93-4803-AF2B-1785EB210338}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{0FAC62DB-8A12-41D3-AEEA-D0D0E268791C}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{4C002E30-D2B1-4E29-B7A7-F49D8C4E0CC5}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{B3EB0E71-3CDD-43AE-9ABE-9C05325EF323}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{A90736E4-8D61-4173-BFF5-82F86DBCA50E}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{1AB2C485-6EAA-41F0-9D41-E4CCD812E375}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{A947CD17-AE50-4A5A-958C-B16EDDE45039}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{8B27C10A-E6B7-40EB-B8A6-1D645A7E4D9F}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{69D0B49D-0CA9-4AA7-8277-3FA9398E5411}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{129AE50E-4F7E-4B00-BFC5-959A1CAA1D76}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{E3B68975-BBE5-409B-8BE1-0616526070C3}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{D9CEFD2D-C66F-429C-92BA-6986A597C301}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{43412F51-0985-4C04-B4C4-180D919931CD}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{C70CBF80-B69F-4B48-806F-437B6BC90289}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{20583200-52BF-4864-9427-EBAA27A5EA39}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{D723DE48-7545-4FB2-B554-39ECDFDBBFF3}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{AD802E98-4040-49F2-9C4F-899A97E28F07}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{051BB051-462D-4C4E-A1B9-94A25D48A05C}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{84F98CE2-8DD8-4BD5-B49E-DFEB58F2012D}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{C2FBD8BF-BA49-46D4-8986-26D9B880304F}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{CB7F003D-C1DA-44A8-B12D-5CA41E51963E}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{13FB54BA-A2A6-40E8-B98E-BA3C9F321DCC}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{5B3BAA7B-94ED-4411-83A3-F0BCC0923203}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{6EC72517-34C3-4193-994F-D57A0CA569A6}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{A4E82A64-1115-4B0C-A7A0-E073D405DC9C}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{FFEC3E69-4282-4EA9-918D-0EA858CB4A89}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{BC1B17AF-E3F7-40B9-A99D-0E879CB1A4B1}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{7BD62D05-D195-4888-8AE6-934771CD8D6C}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{9B57AE70-752A-4799-925B-7BF3C5D7C5AB}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{493C39BA-5390-492E-A61B-FDC9D70150E6}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{AE708C7F-5C2C-4372-BB79-1271B9C18F1B}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{28F0FAAB-17EA-41A7-87FF-F9F1A1B4A030}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{841BB1B6-AE06-4A40-8573-B8B17959AF08}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{1884BA35-A329-4464-9450-B609B97B8ED8}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{1E3D3BC7-E9AD-4755-A20C-2F3E0CF0A9EB}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{FE350860-5F6D-433A-BDBA-31EB9AD97DF2}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{4C3D6B30-70EC-43F5-B97F-796ECDE7EE6F}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{06C133F7-818A-4142-959B-70A168421E18}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{308930E8-E162-4432-9A19-0CD735C5DD11}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{F666AEF7-0944-460B-ADF0-15585263A74C}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{4E91587E-F6F0-41A6-AB46-87BB70191F95}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{0BA94356-ECD3-4306-BDA4-E0290765DC27}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{F049A4F8-D367-4D3F-BE12-7DB01C78B231}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{FD1A9B01-8F5C-42D3-9994-E76A7098D8C9}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{F94B037C-76BC-43C3-B537-7CE8BAA44692}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{D15CBF25-5453-44EF-8BBF-C9D90BA65589}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{459DD0D0-621D-4AC2-9D49-DA060BC3A5D7}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{D5075997-4E4D-4B2A-8DD4-D4AF142A01F7}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{8E6ED2A8-704B-45A5-9F6E-B526A27D2599}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{8A70B29C-CC31-4902-9213-EFCD67CEE194}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{E4BA01AE-33DF-4165-B4B1-30D19B69B3E8}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{CDA907A2-D91D-4D10-AC29-EE1ED3D45B6B}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{69AD1084-7363-4AE4-BDC7-3E5F20F369B1}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{267F9EFC-2DE1-413D-909B-9C4DBFB85DBF}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{3339AD17-6888-497B-A789-6BF6AEB0BBB5}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{8AC00317-2294-4D16-947E-A513224678AE}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{26F78433-36A3-487B-918B-C9525EEE80CE}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{B4986338-3044-48A4-922E-0A8693A1187D}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{D22344FB-C3C0-4B93-A064-13A2DC35B40E}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{3F23CB28-DFBE-4235-A01C-D70DD3188A5D}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{D7FEA55B-526B-416D-BBA7-81CB8A615881}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{ECA41D93-2E8E-4012-894B-14B7A4535B5E}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{D6A9CCA7-B852-4047-8143-804FE8989F3F}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{5E31CF3D-B82A-4846-8424-461ACDD11A2C}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{88653C35-FE22-4E74-B928-8A965B030D76}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{369ED8D1-7681-4254-A65D-C121FA688AF7}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{CBFDAFA9-673B-4A74-9E38-88BA4172872E}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{B4819F8C-96A2-435A-B815-765929E2266B}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{0BF89221-4056-4358-B5BE-2E030622F628}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{ED99916D-EC0F-4279-A640-E902F65473FE}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{3F82F2E7-1126-4E9B-B724-DF9BE6CCFCF0}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{8D3ED604-1CB2-4D43-BEEB-9A66414B39D6}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{2234C6F8-9D8B-46BC-9166-059F99DEC377}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{6E03344C-CE36-484C-A709-CCC28AFE0BF8}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{51246060-72E4-441E-B6A5-1F3421863A72}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{B6D89EC9-3A4E-48C9-8B23-9C45146CF316}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{43B13957-7447-4665-9250-8AD2D6761C92}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{A98E8856-527A-45F3-A9FA-446D3F7F784A}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{4615E48F-C9C2-46A7-906C-D9643CB5B817}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{0C44E0E0-C99F-413E-BF54-5376C602FFF2}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{6AB35BDC-3D74-4A6F-B18D-C180C119807E}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{1956CF17-59F0-4F22-90B6-C85AB385F551}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{A7C60553-E056-4E2B-892E-D67B146C4290}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{F8B711A0-15D8-40D3-AC12-80EEE9C95DCC}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{76005C35-23CF-4CED-B5FB-67C0CACC5EBE}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{0E030017-717C-432D-A21E-D539153F0250}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{B2D8A549-07CD-480E-B3D8-D44D98368AF1}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{369D9483-79E2-41D1-A53A-D6878A10195C}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{6A9B4060-58F4-4F7D-AAEA-8B57C99699C9}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{0251B8D3-9621-47EE-8A38-7BA8546DD0BA}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{BBB97402-0313-4F8F-AAC5-ECDD9EDC9BF8}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{2E668ACF-A2B6-49A7-94F6-96969E8EE97F}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{02013BDF-1E9C-42FB-924B-DB6190FA29FD}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{C43C4940-2543-4DE8-9672-355E78601823}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{CF75B58C-8A7D-438C-A0D1-BE244C4B189B}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{058D109A-99E0-4FE1-9AB2-4C131BD21ABE}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{1812DC30-C6AA-4441-A733-E4BC30D32F70}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{EB678B84-A2A8-45B4-B839-0A80675CBC34}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{928BDC2B-F9C4-4B55-86D4-D193A2531ACE}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{84F3D27C-12DE-44FD-AAD5-2CD50C072DF2}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{C4FB5A44-F7C9-4D73-AA72-123F2B136C9A}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{955717B1-6B6C-4FAB-9751-115643C0DD4C}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{EA787B57-8D12-49BA-8586-19B4000D09C4}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{D075F78C-AB64-4126-9CC8-0DC6322A72F6}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{DF975511-D360-4E09-80D8-5957F4CA78F4}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{6F610506-85FD-43B5-9BD9-D2C3FCEEDEAF}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{CE25846B-9E2A-4A9A-9583-5DE51BDE65C6}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{0CD1DF69-6316-4CE6-8BB7-CAAD25C1E8F6}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{3CD409C9-F492-4A01-9554-F3730560DF9B}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{785B5D7B-BA8E-4927-8B7D-AB591FC7E95A}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{AF5668F0-41C0-4410-94AB-1CC034936353}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{FD630B0A-4FCD-4FE2-A356-1180D9CAB870}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{203BAC6C-2715-4F00-A984-AD6B2F38DFBE}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{594CE2B3-15D7-4FE3-B9A7-B5FFEAD44C40}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{7AC0952D-9718-443A-AB88-FA2B18D1737E}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{EB744F7E-8AA0-4CA0-AB29-93CCE3624388}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{0AE15234-8C2D-4F43-85C2-42EA51253492}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{E3BF9B3B-D525-4419-B19E-4220735F5317}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{31CF2ED7-E7D8-421B-8993-1D00AE56228F}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{E2C8FE2F-1DDC-410C-972D-F28CBE4F1F7B}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{9D546484-7560-4290-8AC4-B68D1DEF30F2}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{C68C20B2-75B3-4DA4-A4A9-6A36B4A35F5F}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{6B7EBC17-1BAF-4504-A2D9-7D5FACCE95F3}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{5E080802-065B-42A6-B130-B03741F0F495}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{8E9E3ADC-FC9D-4B37-BA52-A95868A10510}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{FA32B150-7863-4D45-B35E-70FAD80A45A1}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{A31750A9-B0CA-4CB0-B9CC-31CAB9A5702A}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{385138EF-76B5-4280-8BD9-F5FA029C6D60}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{EE97B215-0E0F-4B05-9D43-FE8B50904AB0}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{77905376-49E5-4565-8745-94AF022A8EDD}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{AA00489E-806B-4718-962E-6E983EFE0FAF}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{09F78707-2B1A-4EAA-9647-B6DEF8A3B9C2}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{907BCC96-D2B8-469B-A2BA-E8C25549C0F8}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{0CC2D333-35EC-429A-890D-5C1A9DE6E0F0}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{C6860D00-0A40-42C3-A596-6154F90D3FA4}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{FB2733F0-8191-4D78-9078-2ECCF531A192}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{48F65AD5-36C1-403E-9782-8D54EA1526DA}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{D3386862-60CC-4D65-AEE3-C0E88E7EF7AC}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{D767605A-2930-441D-9479-191CECFF600C}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{A5B473DB-A7F6-4A53-9F06-EF93EC1262FA}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{AEE308A6-E0EF-4991-938F-8E03844886AB}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{1EDE0C29-A464-4059-BF83-780C8FE1E16A}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{43EC45B2-63E3-42F1-8265-59574F5E2058}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{D3819891-4997-4DD0-9771-33C97AE9F5CA}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{F531F27A-D32E-4A94-91A3-379C9C83C0C7}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{95CF5BC2-CA58-4DB9-B7BF-A54C6A209180}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{3909F559-5D5D-4417-910E-510868986000}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{4BF223AC-9446-404B-BEF0-EB2D91059806}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{F4492856-16A4-4C81-A5D2-EB00CD12D0BE}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{6A64BCED-E792-47E4-99B4-1871BE9C5090}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{680FCC64-4193-4C70-A395-BFE87AEE1A92}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{1A1EF061-4338-457C-9E2A-BB037EF013C4}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{F0719954-5786-477A-850C-8CC803568CE2}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{60ECF4FE-DE7C-4631-A87E-51FEA5B9C0C1}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{D77A99B7-CAAC-4E92-A0DD-10891AC7AB28}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{53D397E0-C85B-4799-940F-E0639851C751}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{857500D7-1233-4DB3-8811-9CEED1B8DECB}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{BAC4138F-6FBD-4D4D-8547-D81C2B1D6FE5}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{B33A0765-327D-48DB-BF3E-AD417F82E7CF}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{AE0AE55E-0B9A-48C6-947F-A86AB5DBFA20}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{48B09C32-87D9-4543-B6D5-DD378DE39A1E}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{49692160-BD33-4A14-B70D-3B8733C91708}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{96341D50-567C-4E9C-91E0-F0DD3D292CC6}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{6F12A0BE-A2AE-4C78-A4B0-E2B2C8AC1513}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{EF16081C-9FF4-4D4B-A8E3-874A90A55E5D}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{47B16E05-9BC1-4947-9B12-7B0805F6C5ED}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{DFEE27A0-F300-4B0F-BE3D-749907C152F2}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{488ABE8B-DB14-4913-B968-0666A0884C99}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{D0581A6F-CBB0-4BCA-A3BD-5AD9F26B9178}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{76FB0492-D797-4CCF-B5F4-FA78E0CD465F}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{580F45B7-B70D-4070-9262-11BC0BD78A8E}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{7F974A4E-0FE7-4BCE-9509-AD57C1F65AFB}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{6E22C831-0403-40C4-8D67-A6B573E433D5}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{7C9A080F-438E-440C-83C5-5140C373981A}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{A7D31DB5-9EA6-4265-B01E-B86232894D2D}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{81637BFD-AF07-443E-8E52-A011C98B776E}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{9DD03AC4-0A8D-4A7A-AB5B-1E4DE7C4BD95}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{023FDBF2-D83C-4016-99B3-83F25B015E67}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{176324E6-BB8E-45C5-AF0C-D4CE1D1CF081}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{D9C11AAA-44F5-4460-9280-96FE40B33226}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{A789F4D0-C0B2-4F64-8720-D0CE7448AC6D}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{AE68E1E5-0760-491D-B0DE-AC11A9C00C07}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{B6299791-04E4-4D16-BC4A-C4BB8F97B808}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{065FF282-9592-494B-8512-B5CCE0D7894B}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{09908758-B1C5-4F2C-BDCC-87764F1710FA}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{0CC7BC64-3765-4DF2-B65B-37C7AA793DD3}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{20EDE7F5-D02A-4450-B68F-4EECDD220291}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{2D8563FB-9F4F-4DE8-8330-6F6394F0D611}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{4C60D9EB-5DB3-448A-971E-C9484C70F0BC}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{4B3BEC56-5569-43B3-9C79-EF76F83995EC}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{CAE032B5-7A81-4FD4-AA6B-7E4D421C070E}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{6653D9D5-D4E4-48A6-9D4F-0A65E9DFE492}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{7595BE74-970A-4A4A-8D70-548D0615BA96}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{DB7FEC58-1E68-43C6-897C-CDFA5B059D95}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{6A14A60B-B484-45F0-955A-3DAC94263DC1}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{CD16D930-CEBE-4270-B8B0-1496F6F74A39}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{63670FE6-4DBB-4DC1-B335-C0D8395E2BCF}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{E33AA8BE-FC08-4F1F-97F5-F7E3FD9B7390}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{684B0239-EC5F-49DF-AE6C-C4CC113E5349}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{2619F5A5-C823-42C5-B0A3-4195FDA986F7}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{23942F97-F3FF-4067-8A74-898A8F216237}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{24BC987D-9F3E-484D-8327-6AFF7C00C266}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{1211423A-6E8E-48D2-A11D-E3168E8A7C35}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{7A0A675E-0C34-4D1B-8CD3-1022344C92E8}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{4339D31E-0220-41DF-B59C-853699ECA570}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{30A9F04E-FA76-4FE6-8189-4C4CCFCB06A2}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{353F2AE4-4E21-412B-8FFC-A910DA819744}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{1FAA3F02-CEBC-426A-BDD2-E6414FD91866}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{C08013A6-2EEE-40AA-A22C-FB784EA72439}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{63D53858-14EE-4AE9-9F5E-7CD2533A756B}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{85B56B41-5270-42EF-B730-D6EDE551E97D}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{0690C8AB-66CC-4595-A7CA-7C0FAF43E124}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{E4CF070D-CB41-4DC8-9DFE-7D9C1E050B65}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{6A260F81-338C-4C5E-B9A0-A3EF976BA26D}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{14E31D9B-4D4E-4834-BE85-19667E2707DF}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{3230F142-E24E-4B69-8C03-F42A7DDD1F66}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{3B333037-A999-44A8-9E9D-040209B05115}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{F3803EB3-B91D-442F-A9C7-9FAED7659172}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{51188A19-6981-466B-8954-F5A8958992EE}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{A844B5D7-B6C1-457C-BCB1-67828280DC51}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{2510134E-4B73-46F1-A12E-F44938BF687F}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{8252C24F-4094-4D83-9F54-ED6CFA0A2B3A}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{FF321CB3-2720-4E31-A9CE-3D76033C91D7}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{00ECDC54-49EA-4DF3-92F2-C5363E42C9B3}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{3F07D430-EE7C-41DF-8E53-E4EEE98CB5BC}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{29EAD700-BA62-44F4-A679-BF6E978220AC}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{72B80BB5-A9DB-45F2-BD69-FBFD25B3076E}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{77B91FEF-AF2D-4ADA-B7AA-593D7A092FA0}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{C56FD45C-28BE-4172-8E85-2CDE099B9B8D}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{23B95818-45CD-4F2C-A896-4593C833B9B7}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{52279538-D569-42C3-9906-83F5D4118050}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{A4135C02-4237-4107-AC7E-08210A2D84EC}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{B1B2EA78-A0E8-4E1E-A1EF-BABF5279FC08}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{5730C741-4E17-468C-BB9A-3901D20B1CF7}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{BEC9AA41-98A4-4FBF-A5A3-D5DB13E59E2A}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{88C52AD3-1F0A-4446-BDCD-828203053064}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{4DFAF3D8-1C4D-4DE3-B93F-CA5633770E97}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{29E85115-D3E9-46A0-9498-2ADD272E5D7D}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{65AFFD12-7746-41A1-A5DD-2289186A72D7}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{BCDB529C-4908-41D2-B487-F604A1362326}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{70BBCD33-85B7-4DF3-9CEC-34540C53A4F0}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{1D7AC099-1709-4AE5-92FD-FF4E6E7B8B3F}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{600BA274-36F5-4C54-9DAF-F989417C3195}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{3748E150-58D0-47EC-A773-97C4E9EAA3A1}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{AE78665C-4E4E-4331-99B3-583D5C9B1E2A}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{B3652586-28C5-4836-8716-78B7BFE36455}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{19C9C960-60E9-4671-A4DD-03940D85AB5F}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{C2931C21-B65E-41B2-AA78-25267286878B}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{6C0CA324-28C5-4172-9A4F-14E488D686F7}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{52995ADD-7601-4659-B55D-FD9924AAFBF1}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{C30FCFB3-4E94-458D-B835-C2B647354E0A}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{5514E682-CA91-45B4-AAC8-A69A9B1C0FCA}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{22A63F66-B206-4F26-B5A2-22A4D729739F}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{799540BD-5CE5-4D2C-98D6-7B96F81A4CDD}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{7E0FF87A-1FB0-438E-BA95-A40BB43A67DE}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{EDD29E9A-0DC4-46E9-95DF-316C4C7624D9}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{0793CD76-4C33-4FB6-A06C-AC8A979EF0ED}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{F606D02E-DE3C-42D4-99C1-1CA7BE639B7C}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{C9A1A06C-658E-4153-A3F8-B90647EE8EAE}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{D60C0A57-40A9-453C-97A6-716F5DD88A3D}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{DF0D058D-198A-4FB2-BFC0-1B3E37F23DD9}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{90AFFCE6-2E88-4718-B847-89CEA482D040}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{3BCB9597-2BF4-41C1-94BB-039E7996FE3E}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{35399946-88F5-426F-8982-302E47709778}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{1CE96688-6CB3-467F-9150-2CFF4987441F}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{1C6D3680-85D5-4F37-8802-A5B1C4A625C5}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{6309481E-F0AD-44DF-A692-A9A2319400E2}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{CFA2C2A0-2B5D-436F-99E3-2E4E80318126}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{FDE325D5-47DB-4735-BE60-6A7301FD055F}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{C472C6A4-2B9E-4632-BF7E-7F802A1CC139}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{28A39604-3A9A-40E4-8297-D1F7C01D71CA}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{6C653648-6214-4770-9F2B-0D7D05DCDEAF}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{73C944CD-05AC-4F2D-926F-967225608A4C}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{927A2ECB-81D5-4025-BD5C-A71C2871A3C9}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{F869C590-47D0-4E74-B68D-6BCCE8C9F065}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{2782B683-B0C1-4F7F-8EFC-183DD100A9A4}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{6D106B34-EC74-4371-B696-44BC1DBADC85}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{3EC1817C-4626-4EA7-BE2E-FD533A49776D}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{C2B98734-8FE7-4201-8422-5AE5DD75BC16}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{C0CC0766-8CAB-4D84-84C7-5C0406982B33}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{59B70048-2880-4688-A421-7C645AA9AA07}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{C8811D95-4D86-4510-9FBA-80B74938064F}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{F8DFFB2D-709E-481C-9AD8-53CC6BCEA6E7}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{30732C3F-92BA-4A91-B07C-E3387DA998E2}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{57DC9396-1D12-4B74-844A-EEEB8AD22604}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{342538ED-55F4-4B71-AA9E-BC3B0C5B67C3}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{82B0C922-A9AE-40B1-BE5F-F72858C65290}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{FD982532-06FE-4EBE-A2D3-A36ECB970414}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{F9C628BE-0C9E-4425-84DC-3F18A2373B3F}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{C5C03D83-5239-41A4-9092-288D403520BC}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{16FDC22C-B44D-4BD1-B1D5-BD6AD7E61BCD}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6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27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28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29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2A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2B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2C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2D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2E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2F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ipower-my.sharepoint.com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6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7.x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6">
    <tabColor rgb="FF92D050"/>
    <pageSetUpPr fitToPage="1"/>
  </sheetPr>
  <dimension ref="A1:CC64"/>
  <sheetViews>
    <sheetView showGridLines="0" zoomScale="90" zoomScaleNormal="90" workbookViewId="0">
      <pane xSplit="1" topLeftCell="B1" activePane="topRight" state="frozen"/>
      <selection pane="topRight" activeCell="B1" sqref="B1"/>
    </sheetView>
  </sheetViews>
  <sheetFormatPr defaultRowHeight="13.2" outlineLevelRow="1" outlineLevelCol="1" x14ac:dyDescent="0.25"/>
  <cols>
    <col min="1" max="1" width="32.109375" customWidth="1" outlineLevel="1"/>
    <col min="2" max="49" width="8.33203125" customWidth="1"/>
  </cols>
  <sheetData>
    <row r="1" spans="2:2" ht="20.399999999999999" x14ac:dyDescent="0.35">
      <c r="B1" s="71" t="s">
        <v>269</v>
      </c>
    </row>
    <row r="24" spans="1:81" x14ac:dyDescent="0.25">
      <c r="B24" s="3" t="s">
        <v>417</v>
      </c>
    </row>
    <row r="25" spans="1:81" x14ac:dyDescent="0.25">
      <c r="B25" s="3" t="s">
        <v>548</v>
      </c>
      <c r="X25" s="6"/>
    </row>
    <row r="26" spans="1:81" x14ac:dyDescent="0.25">
      <c r="B26" s="207" t="s">
        <v>268</v>
      </c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3"/>
      <c r="X26" s="47"/>
      <c r="Y26" s="3"/>
      <c r="Z26" s="3"/>
      <c r="AA26" s="3"/>
      <c r="AB26" s="3"/>
      <c r="AC26" s="3"/>
    </row>
    <row r="27" spans="1:81" x14ac:dyDescent="0.25"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</row>
    <row r="28" spans="1:81" s="175" customFormat="1" x14ac:dyDescent="0.25">
      <c r="B28" s="52" t="s">
        <v>225</v>
      </c>
      <c r="C28" s="52" t="s">
        <v>226</v>
      </c>
      <c r="D28" s="52" t="s">
        <v>408</v>
      </c>
      <c r="E28" s="52" t="s">
        <v>409</v>
      </c>
      <c r="F28" s="52" t="s">
        <v>410</v>
      </c>
      <c r="G28" s="52" t="s">
        <v>411</v>
      </c>
      <c r="H28" s="52" t="s">
        <v>91</v>
      </c>
      <c r="I28" s="52" t="s">
        <v>92</v>
      </c>
      <c r="J28" s="52" t="s">
        <v>93</v>
      </c>
      <c r="K28" s="52" t="s">
        <v>94</v>
      </c>
      <c r="L28" s="52" t="s">
        <v>412</v>
      </c>
      <c r="M28" s="52" t="s">
        <v>413</v>
      </c>
      <c r="N28" s="52" t="s">
        <v>95</v>
      </c>
      <c r="O28" s="52" t="s">
        <v>414</v>
      </c>
      <c r="P28" s="52" t="s">
        <v>96</v>
      </c>
      <c r="Q28" s="52" t="s">
        <v>415</v>
      </c>
      <c r="R28" s="52" t="s">
        <v>97</v>
      </c>
      <c r="S28" s="52" t="s">
        <v>228</v>
      </c>
      <c r="T28" s="52" t="s">
        <v>229</v>
      </c>
      <c r="U28" s="53" t="s">
        <v>215</v>
      </c>
      <c r="V28" s="53" t="s">
        <v>227</v>
      </c>
      <c r="W28" s="53" t="s">
        <v>230</v>
      </c>
      <c r="X28" s="53" t="s">
        <v>234</v>
      </c>
      <c r="Y28" s="53" t="s">
        <v>235</v>
      </c>
      <c r="Z28" s="53" t="s">
        <v>238</v>
      </c>
      <c r="AA28" s="53" t="s">
        <v>239</v>
      </c>
      <c r="AB28" s="53" t="s">
        <v>240</v>
      </c>
      <c r="AC28" s="52" t="s">
        <v>247</v>
      </c>
      <c r="AD28" s="52" t="s">
        <v>249</v>
      </c>
      <c r="AE28" s="52" t="s">
        <v>250</v>
      </c>
      <c r="AF28" s="52" t="s">
        <v>251</v>
      </c>
      <c r="AG28" s="52" t="s">
        <v>252</v>
      </c>
      <c r="AH28" s="52" t="s">
        <v>270</v>
      </c>
      <c r="AI28" s="52" t="s">
        <v>354</v>
      </c>
      <c r="AJ28" s="52" t="s">
        <v>360</v>
      </c>
      <c r="AK28" s="52" t="s">
        <v>366</v>
      </c>
      <c r="AL28" s="52" t="s">
        <v>367</v>
      </c>
      <c r="AM28" s="52" t="s">
        <v>373</v>
      </c>
      <c r="AN28" s="52" t="s">
        <v>374</v>
      </c>
      <c r="AO28" s="52" t="s">
        <v>377</v>
      </c>
      <c r="AP28" s="52" t="s">
        <v>380</v>
      </c>
      <c r="AQ28" s="52" t="s">
        <v>383</v>
      </c>
      <c r="AR28" s="52" t="s">
        <v>386</v>
      </c>
      <c r="AS28" s="52" t="s">
        <v>389</v>
      </c>
      <c r="AT28" s="52" t="s">
        <v>390</v>
      </c>
      <c r="AU28" s="52" t="s">
        <v>405</v>
      </c>
      <c r="AV28" s="52" t="s">
        <v>406</v>
      </c>
      <c r="AW28" s="52" t="s">
        <v>407</v>
      </c>
      <c r="AX28" s="52" t="s">
        <v>428</v>
      </c>
      <c r="AY28" s="52" t="s">
        <v>429</v>
      </c>
      <c r="AZ28" s="52" t="s">
        <v>430</v>
      </c>
      <c r="BA28" s="52" t="s">
        <v>431</v>
      </c>
      <c r="BB28" s="52" t="s">
        <v>498</v>
      </c>
      <c r="BC28" s="52" t="s">
        <v>501</v>
      </c>
      <c r="BD28" s="52" t="s">
        <v>502</v>
      </c>
      <c r="BE28" s="52" t="s">
        <v>503</v>
      </c>
      <c r="BF28" s="52" t="s">
        <v>513</v>
      </c>
      <c r="BG28" s="52" t="s">
        <v>514</v>
      </c>
      <c r="BH28" s="52" t="s">
        <v>517</v>
      </c>
      <c r="BI28" s="52" t="s">
        <v>518</v>
      </c>
      <c r="BJ28" s="52" t="s">
        <v>533</v>
      </c>
      <c r="BK28" s="52" t="s">
        <v>534</v>
      </c>
      <c r="BL28" s="52" t="s">
        <v>535</v>
      </c>
      <c r="BM28" s="52" t="s">
        <v>536</v>
      </c>
      <c r="BN28" s="52" t="s">
        <v>550</v>
      </c>
      <c r="BO28" s="52" t="s">
        <v>553</v>
      </c>
      <c r="BP28" s="52" t="s">
        <v>554</v>
      </c>
      <c r="BQ28" s="52" t="s">
        <v>555</v>
      </c>
      <c r="BR28" s="52" t="s">
        <v>568</v>
      </c>
      <c r="BS28" s="52" t="s">
        <v>570</v>
      </c>
      <c r="BT28" s="52" t="s">
        <v>571</v>
      </c>
      <c r="BU28" s="52" t="s">
        <v>572</v>
      </c>
      <c r="BV28" s="52" t="s">
        <v>579</v>
      </c>
      <c r="BW28" s="52" t="s">
        <v>580</v>
      </c>
      <c r="BX28" s="52" t="s">
        <v>581</v>
      </c>
      <c r="BY28" s="52" t="s">
        <v>582</v>
      </c>
      <c r="BZ28" s="52" t="s">
        <v>592</v>
      </c>
      <c r="CA28" s="52" t="s">
        <v>593</v>
      </c>
      <c r="CB28" s="52" t="s">
        <v>594</v>
      </c>
      <c r="CC28" s="52" t="s">
        <v>595</v>
      </c>
    </row>
    <row r="29" spans="1:81" s="187" customFormat="1" x14ac:dyDescent="0.25">
      <c r="A29" s="183" t="s">
        <v>396</v>
      </c>
      <c r="B29" s="184">
        <v>3</v>
      </c>
      <c r="C29" s="184">
        <v>3</v>
      </c>
      <c r="D29" s="184">
        <v>1</v>
      </c>
      <c r="E29" s="184">
        <v>3</v>
      </c>
      <c r="F29" s="184">
        <v>1</v>
      </c>
      <c r="G29" s="184">
        <v>0</v>
      </c>
      <c r="H29" s="184">
        <v>1</v>
      </c>
      <c r="I29" s="184">
        <v>0</v>
      </c>
      <c r="J29" s="184">
        <v>1</v>
      </c>
      <c r="K29" s="184">
        <v>12</v>
      </c>
      <c r="L29" s="184">
        <v>5</v>
      </c>
      <c r="M29" s="184">
        <v>0</v>
      </c>
      <c r="N29" s="184">
        <v>3</v>
      </c>
      <c r="O29" s="184">
        <v>3</v>
      </c>
      <c r="P29" s="184">
        <v>3</v>
      </c>
      <c r="Q29" s="184">
        <v>7</v>
      </c>
      <c r="R29" s="184">
        <v>4</v>
      </c>
      <c r="S29" s="184">
        <v>1</v>
      </c>
      <c r="T29" s="184">
        <v>11</v>
      </c>
      <c r="U29" s="184">
        <v>2</v>
      </c>
      <c r="V29" s="184">
        <v>6</v>
      </c>
      <c r="W29" s="185">
        <v>5</v>
      </c>
      <c r="X29" s="185">
        <v>10</v>
      </c>
      <c r="Y29" s="185">
        <v>4</v>
      </c>
      <c r="Z29" s="185">
        <v>14</v>
      </c>
      <c r="AA29" s="185">
        <v>3</v>
      </c>
      <c r="AB29" s="185">
        <v>4</v>
      </c>
      <c r="AC29" s="184">
        <v>7</v>
      </c>
      <c r="AD29" s="186">
        <v>1</v>
      </c>
      <c r="AE29" s="184">
        <v>0</v>
      </c>
      <c r="AF29" s="184">
        <v>3</v>
      </c>
      <c r="AG29" s="184">
        <v>4</v>
      </c>
      <c r="AH29" s="184">
        <v>0</v>
      </c>
      <c r="AI29" s="184">
        <v>3</v>
      </c>
      <c r="AJ29" s="184">
        <v>1</v>
      </c>
      <c r="AK29" s="184">
        <v>2</v>
      </c>
      <c r="AL29" s="184">
        <v>1</v>
      </c>
      <c r="AM29" s="184">
        <v>4</v>
      </c>
      <c r="AN29" s="184">
        <v>2</v>
      </c>
      <c r="AO29" s="184">
        <v>0</v>
      </c>
      <c r="AP29" s="184">
        <v>3</v>
      </c>
      <c r="AQ29" s="184">
        <v>8</v>
      </c>
      <c r="AR29" s="184">
        <v>2</v>
      </c>
      <c r="AS29" s="184">
        <v>1</v>
      </c>
      <c r="AT29" s="184">
        <v>2</v>
      </c>
      <c r="AU29" s="184">
        <v>8</v>
      </c>
      <c r="AV29" s="184">
        <v>2</v>
      </c>
      <c r="AW29" s="184">
        <v>1</v>
      </c>
      <c r="AX29" s="184">
        <v>0</v>
      </c>
      <c r="AY29" s="184">
        <v>6</v>
      </c>
      <c r="AZ29" s="184">
        <v>0</v>
      </c>
      <c r="BA29" s="184">
        <v>4</v>
      </c>
      <c r="BB29" s="184">
        <v>4</v>
      </c>
      <c r="BC29" s="184">
        <v>4</v>
      </c>
      <c r="BD29" s="184">
        <v>1</v>
      </c>
      <c r="BE29" s="184">
        <v>3</v>
      </c>
      <c r="BF29" s="184">
        <v>0</v>
      </c>
      <c r="BG29" s="184">
        <v>4</v>
      </c>
      <c r="BH29" s="184">
        <v>0</v>
      </c>
      <c r="BI29" s="184">
        <v>2</v>
      </c>
      <c r="BJ29" s="184">
        <v>5</v>
      </c>
      <c r="BK29" s="184">
        <v>4</v>
      </c>
      <c r="BL29" s="184">
        <v>3</v>
      </c>
      <c r="BM29" s="184">
        <v>1</v>
      </c>
      <c r="BN29" s="184">
        <v>2</v>
      </c>
      <c r="BO29" s="184">
        <v>1</v>
      </c>
      <c r="BP29" s="184">
        <v>5</v>
      </c>
      <c r="BQ29" s="184">
        <v>3</v>
      </c>
      <c r="BR29" s="184">
        <v>1</v>
      </c>
      <c r="BS29" s="184">
        <v>2</v>
      </c>
      <c r="BT29" s="184">
        <v>1</v>
      </c>
      <c r="BU29" s="184">
        <v>8</v>
      </c>
      <c r="BV29" s="184">
        <v>3</v>
      </c>
      <c r="BW29" s="184">
        <v>7</v>
      </c>
      <c r="BX29" s="184">
        <v>3</v>
      </c>
      <c r="BY29" s="184">
        <v>13</v>
      </c>
      <c r="BZ29" s="184">
        <v>0</v>
      </c>
    </row>
    <row r="30" spans="1:81" s="192" customFormat="1" x14ac:dyDescent="0.25">
      <c r="A30" s="188" t="s">
        <v>397</v>
      </c>
      <c r="B30" s="189">
        <v>-14</v>
      </c>
      <c r="C30" s="189">
        <v>-6</v>
      </c>
      <c r="D30" s="189">
        <v>-1</v>
      </c>
      <c r="E30" s="189">
        <v>-7</v>
      </c>
      <c r="F30" s="189">
        <v>-3</v>
      </c>
      <c r="G30" s="189">
        <v>-14</v>
      </c>
      <c r="H30" s="189">
        <v>-32</v>
      </c>
      <c r="I30" s="189">
        <v>-6</v>
      </c>
      <c r="J30" s="189">
        <v>-19</v>
      </c>
      <c r="K30" s="189">
        <v>-10</v>
      </c>
      <c r="L30" s="189">
        <v>-9</v>
      </c>
      <c r="M30" s="189">
        <v>-6</v>
      </c>
      <c r="N30" s="189">
        <v>-2</v>
      </c>
      <c r="O30" s="189">
        <v>-9</v>
      </c>
      <c r="P30" s="189">
        <v>-5</v>
      </c>
      <c r="Q30" s="189">
        <v>-2</v>
      </c>
      <c r="R30" s="189">
        <v>-2</v>
      </c>
      <c r="S30" s="189">
        <v>-1</v>
      </c>
      <c r="T30" s="189">
        <v>-1</v>
      </c>
      <c r="U30" s="189">
        <v>0</v>
      </c>
      <c r="V30" s="189">
        <v>-3</v>
      </c>
      <c r="W30" s="190">
        <v>-2</v>
      </c>
      <c r="X30" s="190">
        <v>-1</v>
      </c>
      <c r="Y30" s="190">
        <v>0</v>
      </c>
      <c r="Z30" s="190">
        <v>-4</v>
      </c>
      <c r="AA30" s="190">
        <v>-6</v>
      </c>
      <c r="AB30" s="190">
        <v>-1</v>
      </c>
      <c r="AC30" s="190">
        <v>-2</v>
      </c>
      <c r="AD30" s="191">
        <v>-8</v>
      </c>
      <c r="AE30" s="190">
        <v>0</v>
      </c>
      <c r="AF30" s="190">
        <v>-1</v>
      </c>
      <c r="AG30" s="190">
        <v>0</v>
      </c>
      <c r="AH30" s="190">
        <v>-3</v>
      </c>
      <c r="AI30" s="190">
        <v>-2</v>
      </c>
      <c r="AJ30" s="190">
        <v>-3</v>
      </c>
      <c r="AK30" s="190">
        <v>0</v>
      </c>
      <c r="AL30" s="190">
        <v>-2</v>
      </c>
      <c r="AM30" s="190">
        <v>-7</v>
      </c>
      <c r="AN30" s="190">
        <v>-5</v>
      </c>
      <c r="AO30" s="190">
        <v>-3</v>
      </c>
      <c r="AP30" s="190">
        <v>0</v>
      </c>
      <c r="AQ30" s="190">
        <v>-6</v>
      </c>
      <c r="AR30" s="190">
        <v>-1</v>
      </c>
      <c r="AS30" s="190">
        <v>-4</v>
      </c>
      <c r="AT30" s="190">
        <v>-3</v>
      </c>
      <c r="AU30" s="190">
        <v>-5</v>
      </c>
      <c r="AV30" s="190">
        <v>-1</v>
      </c>
      <c r="AW30" s="190">
        <v>-4</v>
      </c>
      <c r="AX30" s="190">
        <v>-4</v>
      </c>
      <c r="AY30" s="190">
        <v>0</v>
      </c>
      <c r="AZ30" s="190">
        <v>-8</v>
      </c>
      <c r="BA30" s="190">
        <v>-1</v>
      </c>
      <c r="BB30" s="190">
        <v>0</v>
      </c>
      <c r="BC30" s="190">
        <v>-2</v>
      </c>
      <c r="BD30" s="190">
        <v>0</v>
      </c>
      <c r="BE30" s="190">
        <v>0</v>
      </c>
      <c r="BF30" s="190">
        <v>0</v>
      </c>
      <c r="BG30" s="190">
        <v>-5</v>
      </c>
      <c r="BH30" s="190">
        <v>0</v>
      </c>
      <c r="BI30" s="190">
        <v>0</v>
      </c>
      <c r="BJ30" s="190">
        <v>-1</v>
      </c>
      <c r="BK30" s="190">
        <v>-2</v>
      </c>
      <c r="BL30" s="190">
        <v>0</v>
      </c>
      <c r="BM30" s="190">
        <v>0</v>
      </c>
      <c r="BN30" s="190">
        <v>0</v>
      </c>
      <c r="BO30" s="190">
        <v>0</v>
      </c>
      <c r="BP30" s="190">
        <v>-4</v>
      </c>
      <c r="BQ30" s="190">
        <v>0</v>
      </c>
      <c r="BR30" s="190">
        <v>-5</v>
      </c>
      <c r="BS30" s="190">
        <v>-3</v>
      </c>
      <c r="BT30" s="190">
        <v>-11</v>
      </c>
      <c r="BU30" s="190">
        <v>-2</v>
      </c>
      <c r="BV30" s="190">
        <v>-7</v>
      </c>
      <c r="BW30" s="190">
        <v>0</v>
      </c>
      <c r="BX30" s="190">
        <v>0</v>
      </c>
      <c r="BY30" s="190">
        <v>-3</v>
      </c>
      <c r="BZ30" s="190">
        <v>-1</v>
      </c>
    </row>
    <row r="31" spans="1:81" s="187" customFormat="1" x14ac:dyDescent="0.25">
      <c r="A31" s="183" t="s">
        <v>398</v>
      </c>
      <c r="B31" s="184">
        <v>14</v>
      </c>
      <c r="C31" s="184">
        <v>4</v>
      </c>
      <c r="D31" s="184">
        <v>0</v>
      </c>
      <c r="E31" s="184">
        <v>9</v>
      </c>
      <c r="F31" s="184">
        <v>3</v>
      </c>
      <c r="G31" s="184">
        <v>0</v>
      </c>
      <c r="H31" s="184">
        <v>2</v>
      </c>
      <c r="I31" s="184">
        <v>0</v>
      </c>
      <c r="J31" s="184">
        <v>0</v>
      </c>
      <c r="K31" s="184">
        <v>2</v>
      </c>
      <c r="L31" s="184">
        <v>1</v>
      </c>
      <c r="M31" s="184">
        <v>8</v>
      </c>
      <c r="N31" s="184">
        <v>3</v>
      </c>
      <c r="O31" s="184">
        <v>4</v>
      </c>
      <c r="P31" s="184">
        <v>9</v>
      </c>
      <c r="Q31" s="184">
        <v>4</v>
      </c>
      <c r="R31" s="184">
        <v>12</v>
      </c>
      <c r="S31" s="184">
        <v>11</v>
      </c>
      <c r="T31" s="184">
        <v>8</v>
      </c>
      <c r="U31" s="184">
        <v>0</v>
      </c>
      <c r="V31" s="184">
        <v>5</v>
      </c>
      <c r="W31" s="185">
        <v>12</v>
      </c>
      <c r="X31" s="185">
        <v>3</v>
      </c>
      <c r="Y31" s="185">
        <v>2</v>
      </c>
      <c r="Z31" s="185">
        <v>1</v>
      </c>
      <c r="AA31" s="185">
        <v>4</v>
      </c>
      <c r="AB31" s="185">
        <v>4</v>
      </c>
      <c r="AC31" s="185">
        <v>10</v>
      </c>
      <c r="AD31" s="186">
        <v>1</v>
      </c>
      <c r="AE31" s="185">
        <v>1</v>
      </c>
      <c r="AF31" s="185">
        <v>0</v>
      </c>
      <c r="AG31" s="185">
        <v>1</v>
      </c>
      <c r="AH31" s="185">
        <v>0</v>
      </c>
      <c r="AI31" s="185">
        <v>2</v>
      </c>
      <c r="AJ31" s="185">
        <v>3</v>
      </c>
      <c r="AK31" s="185">
        <v>0</v>
      </c>
      <c r="AL31" s="185">
        <v>0</v>
      </c>
      <c r="AM31" s="185">
        <v>2</v>
      </c>
      <c r="AN31" s="185">
        <v>4</v>
      </c>
      <c r="AO31" s="185">
        <v>1</v>
      </c>
      <c r="AP31" s="185">
        <v>3</v>
      </c>
      <c r="AQ31" s="185">
        <v>4</v>
      </c>
      <c r="AR31" s="185">
        <v>0</v>
      </c>
      <c r="AS31" s="185">
        <v>0</v>
      </c>
      <c r="AT31" s="185">
        <v>5</v>
      </c>
      <c r="AU31" s="185">
        <v>9</v>
      </c>
      <c r="AV31" s="185">
        <v>0</v>
      </c>
      <c r="AW31" s="185">
        <v>0</v>
      </c>
      <c r="AX31" s="185">
        <v>1</v>
      </c>
      <c r="AY31" s="185">
        <v>4</v>
      </c>
      <c r="AZ31" s="185">
        <v>8</v>
      </c>
      <c r="BA31" s="185">
        <v>0</v>
      </c>
      <c r="BB31" s="185">
        <v>78</v>
      </c>
      <c r="BC31" s="185">
        <v>2</v>
      </c>
      <c r="BD31" s="185">
        <v>5</v>
      </c>
      <c r="BE31" s="185">
        <v>0</v>
      </c>
      <c r="BF31" s="185">
        <v>2</v>
      </c>
      <c r="BG31" s="185">
        <v>4</v>
      </c>
      <c r="BH31" s="185">
        <v>1</v>
      </c>
      <c r="BI31" s="185">
        <v>2</v>
      </c>
      <c r="BJ31" s="185">
        <v>2</v>
      </c>
      <c r="BK31" s="185">
        <v>2</v>
      </c>
      <c r="BL31" s="185">
        <v>1</v>
      </c>
      <c r="BM31" s="185">
        <v>0</v>
      </c>
      <c r="BN31" s="185">
        <v>4</v>
      </c>
      <c r="BO31" s="185">
        <v>3</v>
      </c>
      <c r="BP31" s="185">
        <v>3</v>
      </c>
      <c r="BQ31" s="185">
        <v>0</v>
      </c>
      <c r="BR31" s="185">
        <v>0</v>
      </c>
      <c r="BS31" s="185">
        <v>2</v>
      </c>
      <c r="BT31" s="185">
        <v>0</v>
      </c>
      <c r="BU31" s="185">
        <v>1</v>
      </c>
      <c r="BV31" s="185">
        <v>2</v>
      </c>
      <c r="BW31" s="185">
        <v>2</v>
      </c>
      <c r="BX31" s="185">
        <v>5</v>
      </c>
      <c r="BY31" s="185">
        <v>0</v>
      </c>
      <c r="BZ31" s="185">
        <v>1</v>
      </c>
    </row>
    <row r="32" spans="1:81" s="192" customFormat="1" x14ac:dyDescent="0.25">
      <c r="A32" s="188" t="s">
        <v>400</v>
      </c>
      <c r="B32" s="189">
        <v>-21</v>
      </c>
      <c r="C32" s="189">
        <v>-8</v>
      </c>
      <c r="D32" s="189">
        <v>0</v>
      </c>
      <c r="E32" s="189">
        <v>-12</v>
      </c>
      <c r="F32" s="189">
        <v>-7</v>
      </c>
      <c r="G32" s="189">
        <v>-20</v>
      </c>
      <c r="H32" s="189">
        <v>-27</v>
      </c>
      <c r="I32" s="189">
        <v>-59</v>
      </c>
      <c r="J32" s="189">
        <v>-25</v>
      </c>
      <c r="K32" s="189">
        <v>-21</v>
      </c>
      <c r="L32" s="189">
        <v>-11</v>
      </c>
      <c r="M32" s="189">
        <v>-11</v>
      </c>
      <c r="N32" s="189">
        <v>-11</v>
      </c>
      <c r="O32" s="189">
        <v>-6</v>
      </c>
      <c r="P32" s="189">
        <v>-3</v>
      </c>
      <c r="Q32" s="189">
        <v>-2</v>
      </c>
      <c r="R32" s="189">
        <v>-6</v>
      </c>
      <c r="S32" s="189">
        <v>0</v>
      </c>
      <c r="T32" s="189">
        <v>-3</v>
      </c>
      <c r="U32" s="189">
        <v>-6</v>
      </c>
      <c r="V32" s="189">
        <v>-2</v>
      </c>
      <c r="W32" s="190">
        <v>-4</v>
      </c>
      <c r="X32" s="190">
        <v>-11</v>
      </c>
      <c r="Y32" s="190">
        <v>0</v>
      </c>
      <c r="Z32" s="190">
        <v>-9</v>
      </c>
      <c r="AA32" s="190">
        <v>-1</v>
      </c>
      <c r="AB32" s="190">
        <v>0</v>
      </c>
      <c r="AC32" s="190">
        <v>-3</v>
      </c>
      <c r="AD32" s="191">
        <v>0</v>
      </c>
      <c r="AE32" s="190">
        <v>-2</v>
      </c>
      <c r="AF32" s="190">
        <v>-1</v>
      </c>
      <c r="AG32" s="190">
        <v>0</v>
      </c>
      <c r="AH32" s="190">
        <v>-2</v>
      </c>
      <c r="AI32" s="190">
        <v>-9</v>
      </c>
      <c r="AJ32" s="190">
        <v>-5</v>
      </c>
      <c r="AK32" s="190">
        <v>-2</v>
      </c>
      <c r="AL32" s="190">
        <v>-2</v>
      </c>
      <c r="AM32" s="190">
        <v>-5</v>
      </c>
      <c r="AN32" s="190">
        <v>-3</v>
      </c>
      <c r="AO32" s="190">
        <v>-3</v>
      </c>
      <c r="AP32" s="190">
        <v>0</v>
      </c>
      <c r="AQ32" s="190">
        <v>0</v>
      </c>
      <c r="AR32" s="190">
        <v>-3</v>
      </c>
      <c r="AS32" s="190">
        <v>-1</v>
      </c>
      <c r="AT32" s="190">
        <v>-2</v>
      </c>
      <c r="AU32" s="190">
        <v>-2</v>
      </c>
      <c r="AV32" s="190">
        <v>-1</v>
      </c>
      <c r="AW32" s="190">
        <v>-1</v>
      </c>
      <c r="AX32" s="190">
        <v>-1</v>
      </c>
      <c r="AY32" s="190">
        <v>-1</v>
      </c>
      <c r="AZ32" s="190">
        <v>-2</v>
      </c>
      <c r="BA32" s="190">
        <v>0</v>
      </c>
      <c r="BB32" s="190">
        <v>0</v>
      </c>
      <c r="BC32" s="190">
        <v>0</v>
      </c>
      <c r="BD32" s="190">
        <v>0</v>
      </c>
      <c r="BE32" s="190">
        <v>0</v>
      </c>
      <c r="BF32" s="190">
        <v>0</v>
      </c>
      <c r="BG32" s="190">
        <v>-1</v>
      </c>
      <c r="BH32" s="190">
        <v>-1</v>
      </c>
      <c r="BI32" s="190">
        <v>-1</v>
      </c>
      <c r="BJ32" s="190">
        <v>-2</v>
      </c>
      <c r="BK32" s="190">
        <v>0</v>
      </c>
      <c r="BL32" s="190">
        <v>-5</v>
      </c>
      <c r="BM32" s="190">
        <v>-1</v>
      </c>
      <c r="BN32" s="190">
        <v>0</v>
      </c>
      <c r="BO32" s="190">
        <v>0</v>
      </c>
      <c r="BP32" s="190">
        <v>-2</v>
      </c>
      <c r="BQ32" s="190">
        <v>0</v>
      </c>
      <c r="BR32" s="190">
        <v>-4</v>
      </c>
      <c r="BS32" s="190">
        <v>0</v>
      </c>
      <c r="BT32" s="190">
        <v>-9</v>
      </c>
      <c r="BU32" s="190">
        <v>-7</v>
      </c>
      <c r="BV32" s="190">
        <v>-6</v>
      </c>
      <c r="BW32" s="190">
        <v>-2</v>
      </c>
      <c r="BX32" s="190">
        <v>-1</v>
      </c>
      <c r="BY32" s="190">
        <v>-2</v>
      </c>
      <c r="BZ32" s="190">
        <v>-3</v>
      </c>
    </row>
    <row r="33" spans="1:81" s="187" customFormat="1" x14ac:dyDescent="0.25">
      <c r="A33" s="183" t="s">
        <v>399</v>
      </c>
      <c r="B33" s="184">
        <v>6</v>
      </c>
      <c r="C33" s="184">
        <v>7</v>
      </c>
      <c r="D33" s="184">
        <v>5</v>
      </c>
      <c r="E33" s="184">
        <v>2</v>
      </c>
      <c r="F33" s="184">
        <v>2</v>
      </c>
      <c r="G33" s="184">
        <v>2</v>
      </c>
      <c r="H33" s="185">
        <v>9</v>
      </c>
      <c r="I33" s="185">
        <v>1</v>
      </c>
      <c r="J33" s="185">
        <v>3</v>
      </c>
      <c r="K33" s="185">
        <v>1</v>
      </c>
      <c r="L33" s="185">
        <v>0</v>
      </c>
      <c r="M33" s="184">
        <v>2</v>
      </c>
      <c r="N33" s="184">
        <v>2</v>
      </c>
      <c r="O33" s="184">
        <v>1</v>
      </c>
      <c r="P33" s="184">
        <v>9</v>
      </c>
      <c r="Q33" s="184">
        <v>3</v>
      </c>
      <c r="R33" s="184">
        <v>7</v>
      </c>
      <c r="S33" s="184">
        <v>8</v>
      </c>
      <c r="T33" s="184">
        <v>1</v>
      </c>
      <c r="U33" s="184">
        <v>8</v>
      </c>
      <c r="V33" s="184">
        <v>7</v>
      </c>
      <c r="W33" s="184">
        <v>7</v>
      </c>
      <c r="X33" s="185">
        <v>6</v>
      </c>
      <c r="Y33" s="185">
        <v>0</v>
      </c>
      <c r="Z33" s="185">
        <v>7</v>
      </c>
      <c r="AA33" s="185">
        <v>16</v>
      </c>
      <c r="AB33" s="185">
        <v>0</v>
      </c>
      <c r="AC33" s="185">
        <v>3</v>
      </c>
      <c r="AD33" s="186">
        <v>3</v>
      </c>
      <c r="AE33" s="185">
        <v>3</v>
      </c>
      <c r="AF33" s="185">
        <v>6</v>
      </c>
      <c r="AG33" s="185">
        <v>1</v>
      </c>
      <c r="AH33" s="185">
        <v>1</v>
      </c>
      <c r="AI33" s="185">
        <v>5</v>
      </c>
      <c r="AJ33" s="185">
        <v>3</v>
      </c>
      <c r="AK33" s="185">
        <v>3</v>
      </c>
      <c r="AL33" s="185">
        <v>0</v>
      </c>
      <c r="AM33" s="185">
        <v>6</v>
      </c>
      <c r="AN33" s="185">
        <v>5</v>
      </c>
      <c r="AO33" s="185">
        <v>4</v>
      </c>
      <c r="AP33" s="185">
        <v>5</v>
      </c>
      <c r="AQ33" s="185">
        <v>9</v>
      </c>
      <c r="AR33" s="185">
        <v>2</v>
      </c>
      <c r="AS33" s="185">
        <v>2</v>
      </c>
      <c r="AT33" s="185">
        <v>1</v>
      </c>
      <c r="AU33" s="185">
        <v>7</v>
      </c>
      <c r="AV33" s="185">
        <v>0</v>
      </c>
      <c r="AW33" s="185">
        <v>2</v>
      </c>
      <c r="AX33" s="185">
        <v>13</v>
      </c>
      <c r="AY33" s="185">
        <v>10</v>
      </c>
      <c r="AZ33" s="185">
        <v>6</v>
      </c>
      <c r="BA33" s="185">
        <v>8</v>
      </c>
      <c r="BB33" s="185">
        <v>0</v>
      </c>
      <c r="BC33" s="185">
        <v>4</v>
      </c>
      <c r="BD33" s="185">
        <v>0</v>
      </c>
      <c r="BE33" s="185">
        <v>2</v>
      </c>
      <c r="BF33" s="185">
        <v>0</v>
      </c>
      <c r="BG33" s="185">
        <v>18</v>
      </c>
      <c r="BH33" s="185">
        <v>0</v>
      </c>
      <c r="BI33" s="185">
        <v>2</v>
      </c>
      <c r="BJ33" s="185">
        <v>6</v>
      </c>
      <c r="BK33" s="185">
        <v>6</v>
      </c>
      <c r="BL33" s="185">
        <v>19</v>
      </c>
      <c r="BM33" s="185">
        <v>0</v>
      </c>
      <c r="BN33" s="185">
        <v>7</v>
      </c>
      <c r="BO33" s="185">
        <v>3</v>
      </c>
      <c r="BP33" s="185">
        <v>0</v>
      </c>
      <c r="BQ33" s="185">
        <v>7</v>
      </c>
      <c r="BR33" s="185">
        <v>5</v>
      </c>
      <c r="BS33" s="185">
        <v>2</v>
      </c>
      <c r="BT33" s="185">
        <v>16</v>
      </c>
      <c r="BU33" s="185">
        <v>3</v>
      </c>
      <c r="BV33" s="185">
        <v>9</v>
      </c>
      <c r="BW33" s="185">
        <v>1</v>
      </c>
      <c r="BX33" s="185">
        <v>4</v>
      </c>
      <c r="BY33" s="185">
        <v>6</v>
      </c>
      <c r="BZ33" s="185">
        <v>0</v>
      </c>
    </row>
    <row r="34" spans="1:81" s="192" customFormat="1" x14ac:dyDescent="0.25">
      <c r="A34" s="188" t="s">
        <v>401</v>
      </c>
      <c r="B34" s="189">
        <v>-24</v>
      </c>
      <c r="C34" s="189">
        <v>-7</v>
      </c>
      <c r="D34" s="189">
        <v>-12</v>
      </c>
      <c r="E34" s="189">
        <v>-38</v>
      </c>
      <c r="F34" s="189">
        <v>-24</v>
      </c>
      <c r="G34" s="189">
        <v>-33</v>
      </c>
      <c r="H34" s="190">
        <v>-32</v>
      </c>
      <c r="I34" s="190">
        <v>-22</v>
      </c>
      <c r="J34" s="190">
        <v>-44</v>
      </c>
      <c r="K34" s="190">
        <v>-24</v>
      </c>
      <c r="L34" s="190">
        <v>-18</v>
      </c>
      <c r="M34" s="189">
        <v>-20</v>
      </c>
      <c r="N34" s="189">
        <v>-6</v>
      </c>
      <c r="O34" s="189">
        <v>-4</v>
      </c>
      <c r="P34" s="189">
        <v>-2</v>
      </c>
      <c r="Q34" s="189">
        <v>-7</v>
      </c>
      <c r="R34" s="189">
        <v>-1</v>
      </c>
      <c r="S34" s="189">
        <v>-9</v>
      </c>
      <c r="T34" s="189">
        <v>-3</v>
      </c>
      <c r="U34" s="189">
        <v>-16</v>
      </c>
      <c r="V34" s="189">
        <v>-2</v>
      </c>
      <c r="W34" s="189">
        <v>-4</v>
      </c>
      <c r="X34" s="190">
        <v>-6</v>
      </c>
      <c r="Y34" s="190">
        <v>-8</v>
      </c>
      <c r="Z34" s="190">
        <v>-4</v>
      </c>
      <c r="AA34" s="190">
        <v>-11</v>
      </c>
      <c r="AB34" s="190">
        <v>-1</v>
      </c>
      <c r="AC34" s="190">
        <v>-6</v>
      </c>
      <c r="AD34" s="191">
        <v>-5</v>
      </c>
      <c r="AE34" s="190">
        <v>-3</v>
      </c>
      <c r="AF34" s="190">
        <v>-3</v>
      </c>
      <c r="AG34" s="190">
        <v>-3</v>
      </c>
      <c r="AH34" s="190">
        <v>-4</v>
      </c>
      <c r="AI34" s="190">
        <v>-3</v>
      </c>
      <c r="AJ34" s="190">
        <v>0</v>
      </c>
      <c r="AK34" s="190">
        <v>-1</v>
      </c>
      <c r="AL34" s="190">
        <v>-13</v>
      </c>
      <c r="AM34" s="190">
        <v>-2</v>
      </c>
      <c r="AN34" s="190">
        <v>0</v>
      </c>
      <c r="AO34" s="190">
        <v>-6</v>
      </c>
      <c r="AP34" s="190">
        <v>0</v>
      </c>
      <c r="AQ34" s="190">
        <v>-2</v>
      </c>
      <c r="AR34" s="190">
        <v>0</v>
      </c>
      <c r="AS34" s="190">
        <v>-4</v>
      </c>
      <c r="AT34" s="190">
        <v>-3</v>
      </c>
      <c r="AU34" s="190">
        <v>-4</v>
      </c>
      <c r="AV34" s="190">
        <v>-5</v>
      </c>
      <c r="AW34" s="190">
        <v>-8</v>
      </c>
      <c r="AX34" s="190">
        <v>0</v>
      </c>
      <c r="AY34" s="190">
        <v>0</v>
      </c>
      <c r="AZ34" s="190">
        <v>0</v>
      </c>
      <c r="BA34" s="190">
        <v>-3</v>
      </c>
      <c r="BB34" s="190">
        <v>0</v>
      </c>
      <c r="BC34" s="190">
        <v>-1</v>
      </c>
      <c r="BD34" s="190">
        <v>0</v>
      </c>
      <c r="BE34" s="190">
        <v>0</v>
      </c>
      <c r="BF34" s="190">
        <v>0</v>
      </c>
      <c r="BG34" s="190">
        <v>-1</v>
      </c>
      <c r="BH34" s="190">
        <v>-5</v>
      </c>
      <c r="BI34" s="190">
        <v>-1</v>
      </c>
      <c r="BJ34" s="190">
        <v>-2</v>
      </c>
      <c r="BK34" s="190">
        <v>-1</v>
      </c>
      <c r="BL34" s="190">
        <v>-3</v>
      </c>
      <c r="BM34" s="190">
        <v>-1</v>
      </c>
      <c r="BN34" s="190">
        <v>-4</v>
      </c>
      <c r="BO34" s="190">
        <v>-1</v>
      </c>
      <c r="BP34" s="190">
        <v>-3</v>
      </c>
      <c r="BQ34" s="190">
        <v>0</v>
      </c>
      <c r="BR34" s="190">
        <v>-2</v>
      </c>
      <c r="BS34" s="190">
        <v>-4</v>
      </c>
      <c r="BT34" s="190">
        <v>-3</v>
      </c>
      <c r="BU34" s="190">
        <v>-2</v>
      </c>
      <c r="BV34" s="190">
        <v>-8</v>
      </c>
      <c r="BW34" s="190">
        <v>0</v>
      </c>
      <c r="BX34" s="190">
        <v>-4</v>
      </c>
      <c r="BY34" s="190">
        <v>-2</v>
      </c>
      <c r="BZ34" s="190">
        <v>0</v>
      </c>
    </row>
    <row r="35" spans="1:81" s="1" customFormat="1" x14ac:dyDescent="0.25"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BK35" s="1" t="s">
        <v>541</v>
      </c>
      <c r="BO35" s="1" t="s">
        <v>541</v>
      </c>
      <c r="BS35" s="1" t="s">
        <v>541</v>
      </c>
    </row>
    <row r="36" spans="1:81" x14ac:dyDescent="0.25">
      <c r="B36" s="48"/>
      <c r="C36" s="48"/>
      <c r="D36" s="48"/>
      <c r="E36" s="48"/>
      <c r="F36" s="51"/>
      <c r="G36" s="50"/>
      <c r="H36" s="50"/>
      <c r="I36" s="50"/>
      <c r="J36" s="50"/>
      <c r="K36" s="50"/>
      <c r="L36" s="49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16"/>
      <c r="Y36" s="16"/>
      <c r="Z36" s="16"/>
      <c r="AA36" s="16"/>
      <c r="AB36" s="16"/>
      <c r="AC36" s="16"/>
    </row>
    <row r="37" spans="1:81" x14ac:dyDescent="0.25">
      <c r="B37" s="48"/>
      <c r="C37" s="48"/>
      <c r="D37" s="48"/>
      <c r="E37" s="48"/>
      <c r="F37" s="51"/>
      <c r="G37" s="50"/>
      <c r="H37" s="50"/>
      <c r="I37" s="50"/>
      <c r="J37" s="50"/>
      <c r="K37" s="50"/>
      <c r="L37" s="49"/>
      <c r="M37" s="48"/>
      <c r="N37" s="48"/>
      <c r="O37" s="48"/>
      <c r="P37" s="48"/>
      <c r="Q37" s="48"/>
      <c r="R37" s="48"/>
      <c r="S37" s="48"/>
      <c r="T37" s="48"/>
      <c r="U37" s="48"/>
      <c r="V37" s="48"/>
      <c r="W37" s="48"/>
      <c r="X37" s="16"/>
      <c r="Y37" s="16"/>
      <c r="Z37" s="16"/>
      <c r="AA37" s="16"/>
      <c r="AB37" s="16"/>
      <c r="AC37" s="16"/>
    </row>
    <row r="38" spans="1:81" x14ac:dyDescent="0.25">
      <c r="B38" s="48"/>
      <c r="C38" s="48"/>
      <c r="D38" s="48"/>
      <c r="E38" s="48"/>
      <c r="F38" s="51"/>
      <c r="G38" s="50"/>
      <c r="H38" s="50"/>
      <c r="I38" s="50"/>
      <c r="J38" s="50"/>
      <c r="K38" s="50"/>
      <c r="L38" s="49"/>
      <c r="M38" s="48"/>
      <c r="N38" s="48"/>
      <c r="O38" s="48"/>
      <c r="P38" s="48"/>
      <c r="Q38" s="48"/>
      <c r="R38" s="48"/>
      <c r="S38" s="48"/>
      <c r="T38" s="48"/>
      <c r="U38" s="48"/>
      <c r="V38" s="48"/>
      <c r="W38" s="48"/>
      <c r="X38" s="16"/>
      <c r="Y38" s="16"/>
      <c r="Z38" s="16"/>
      <c r="AA38" s="16"/>
      <c r="AB38" s="16"/>
      <c r="AC38" s="16"/>
    </row>
    <row r="39" spans="1:81" x14ac:dyDescent="0.25">
      <c r="B39" s="48"/>
      <c r="C39" s="48"/>
      <c r="D39" s="48"/>
      <c r="E39" s="48"/>
      <c r="F39" s="51"/>
      <c r="G39" s="50"/>
      <c r="H39" s="50"/>
      <c r="I39" s="50"/>
      <c r="J39" s="50"/>
      <c r="K39" s="50"/>
      <c r="L39" s="49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16"/>
      <c r="Y39" s="16"/>
      <c r="Z39" s="16"/>
      <c r="AA39" s="16"/>
      <c r="AB39" s="16"/>
      <c r="AC39" s="16"/>
    </row>
    <row r="40" spans="1:81" s="204" customFormat="1" outlineLevel="1" x14ac:dyDescent="0.25">
      <c r="A40" s="201"/>
      <c r="B40" s="202"/>
      <c r="C40" s="202"/>
      <c r="D40" s="202"/>
      <c r="E40" s="203" t="str">
        <f t="shared" ref="E40:AN40" si="0">IF( ISERR( FIND( "Q4", E$28 ) ), "", LEFT( E$28, 4 ) )</f>
        <v>2001</v>
      </c>
      <c r="F40" s="203" t="str">
        <f t="shared" si="0"/>
        <v/>
      </c>
      <c r="G40" s="203" t="str">
        <f t="shared" si="0"/>
        <v/>
      </c>
      <c r="H40" s="203" t="str">
        <f t="shared" si="0"/>
        <v/>
      </c>
      <c r="I40" s="203" t="str">
        <f t="shared" si="0"/>
        <v>2002</v>
      </c>
      <c r="J40" s="203" t="str">
        <f t="shared" si="0"/>
        <v/>
      </c>
      <c r="K40" s="203" t="str">
        <f t="shared" si="0"/>
        <v/>
      </c>
      <c r="L40" s="203" t="str">
        <f t="shared" si="0"/>
        <v/>
      </c>
      <c r="M40" s="203" t="str">
        <f t="shared" si="0"/>
        <v>2003</v>
      </c>
      <c r="N40" s="203" t="str">
        <f t="shared" si="0"/>
        <v/>
      </c>
      <c r="O40" s="203" t="str">
        <f t="shared" si="0"/>
        <v/>
      </c>
      <c r="P40" s="203" t="str">
        <f t="shared" si="0"/>
        <v/>
      </c>
      <c r="Q40" s="203" t="str">
        <f t="shared" si="0"/>
        <v>2004</v>
      </c>
      <c r="R40" s="203" t="str">
        <f t="shared" si="0"/>
        <v/>
      </c>
      <c r="S40" s="203" t="str">
        <f t="shared" si="0"/>
        <v/>
      </c>
      <c r="T40" s="203" t="str">
        <f t="shared" si="0"/>
        <v/>
      </c>
      <c r="U40" s="203" t="str">
        <f t="shared" si="0"/>
        <v>2005</v>
      </c>
      <c r="V40" s="203" t="str">
        <f t="shared" si="0"/>
        <v/>
      </c>
      <c r="W40" s="203" t="str">
        <f t="shared" si="0"/>
        <v/>
      </c>
      <c r="X40" s="203" t="str">
        <f t="shared" si="0"/>
        <v/>
      </c>
      <c r="Y40" s="203" t="str">
        <f t="shared" si="0"/>
        <v>2006</v>
      </c>
      <c r="Z40" s="203" t="str">
        <f t="shared" si="0"/>
        <v/>
      </c>
      <c r="AA40" s="203" t="str">
        <f t="shared" si="0"/>
        <v/>
      </c>
      <c r="AB40" s="203" t="str">
        <f t="shared" si="0"/>
        <v/>
      </c>
      <c r="AC40" s="203" t="str">
        <f t="shared" si="0"/>
        <v>2007</v>
      </c>
      <c r="AD40" s="203" t="str">
        <f t="shared" si="0"/>
        <v/>
      </c>
      <c r="AE40" s="203" t="str">
        <f t="shared" si="0"/>
        <v/>
      </c>
      <c r="AF40" s="203" t="str">
        <f t="shared" si="0"/>
        <v/>
      </c>
      <c r="AG40" s="203" t="str">
        <f t="shared" si="0"/>
        <v>2008</v>
      </c>
      <c r="AH40" s="203" t="str">
        <f t="shared" si="0"/>
        <v/>
      </c>
      <c r="AI40" s="203" t="str">
        <f t="shared" si="0"/>
        <v/>
      </c>
      <c r="AJ40" s="203" t="str">
        <f t="shared" si="0"/>
        <v/>
      </c>
      <c r="AK40" s="203" t="str">
        <f t="shared" si="0"/>
        <v>2009</v>
      </c>
      <c r="AL40" s="203" t="str">
        <f t="shared" si="0"/>
        <v/>
      </c>
      <c r="AM40" s="203" t="str">
        <f t="shared" si="0"/>
        <v/>
      </c>
      <c r="AN40" s="203" t="str">
        <f t="shared" si="0"/>
        <v/>
      </c>
      <c r="AO40" s="203" t="str">
        <f>IF( ISERR( FIND( "Q4", AO$28 ) ), "", LEFT( AO$28, 4 ) )</f>
        <v>2010</v>
      </c>
      <c r="AP40" s="203" t="str">
        <f t="shared" ref="AP40:BX40" si="1">IF( ISERR( FIND( "Q4", AP$28 ) ), "", LEFT( AP$28, 4 ) )</f>
        <v/>
      </c>
      <c r="AQ40" s="203" t="str">
        <f t="shared" si="1"/>
        <v/>
      </c>
      <c r="AR40" s="203" t="str">
        <f t="shared" si="1"/>
        <v/>
      </c>
      <c r="AS40" s="203" t="str">
        <f t="shared" si="1"/>
        <v>2011</v>
      </c>
      <c r="AT40" s="203" t="str">
        <f t="shared" si="1"/>
        <v/>
      </c>
      <c r="AU40" s="203" t="str">
        <f t="shared" si="1"/>
        <v/>
      </c>
      <c r="AV40" s="203" t="str">
        <f t="shared" si="1"/>
        <v/>
      </c>
      <c r="AW40" s="203" t="str">
        <f t="shared" si="1"/>
        <v>2012</v>
      </c>
      <c r="AX40" s="203" t="str">
        <f t="shared" si="1"/>
        <v/>
      </c>
      <c r="AY40" s="203" t="str">
        <f t="shared" si="1"/>
        <v/>
      </c>
      <c r="AZ40" s="203" t="str">
        <f t="shared" si="1"/>
        <v/>
      </c>
      <c r="BA40" s="203" t="str">
        <f t="shared" si="1"/>
        <v>2013</v>
      </c>
      <c r="BB40" s="203" t="str">
        <f t="shared" si="1"/>
        <v/>
      </c>
      <c r="BC40" s="203" t="str">
        <f t="shared" si="1"/>
        <v/>
      </c>
      <c r="BD40" s="203" t="str">
        <f t="shared" si="1"/>
        <v/>
      </c>
      <c r="BE40" s="203" t="str">
        <f t="shared" si="1"/>
        <v>2014</v>
      </c>
      <c r="BF40" s="203" t="str">
        <f t="shared" si="1"/>
        <v/>
      </c>
      <c r="BG40" s="203" t="str">
        <f t="shared" si="1"/>
        <v/>
      </c>
      <c r="BH40" s="203" t="str">
        <f t="shared" si="1"/>
        <v/>
      </c>
      <c r="BI40" s="203" t="str">
        <f t="shared" si="1"/>
        <v>2015</v>
      </c>
      <c r="BJ40" s="203" t="str">
        <f t="shared" si="1"/>
        <v/>
      </c>
      <c r="BK40" s="203" t="str">
        <f t="shared" si="1"/>
        <v/>
      </c>
      <c r="BL40" s="203" t="str">
        <f t="shared" si="1"/>
        <v/>
      </c>
      <c r="BM40" s="203" t="str">
        <f>IF( ISERR( FIND( "Q4", BM$28 ) ), "", LEFT( BM$28, 4 ) )</f>
        <v>2016</v>
      </c>
      <c r="BN40" s="203" t="str">
        <f t="shared" si="1"/>
        <v/>
      </c>
      <c r="BO40" s="203" t="str">
        <f t="shared" si="1"/>
        <v/>
      </c>
      <c r="BP40" s="203" t="str">
        <f t="shared" si="1"/>
        <v/>
      </c>
      <c r="BQ40" s="203" t="str">
        <f>IF( ISERR( FIND( "Q4", BQ$28 ) ), "", LEFT( BQ$28, 4 ) )</f>
        <v>2017</v>
      </c>
      <c r="BR40" s="203" t="str">
        <f t="shared" si="1"/>
        <v/>
      </c>
      <c r="BS40" s="203" t="str">
        <f t="shared" si="1"/>
        <v/>
      </c>
      <c r="BT40" s="203" t="str">
        <f t="shared" si="1"/>
        <v/>
      </c>
      <c r="BU40" s="203">
        <v>2018</v>
      </c>
      <c r="BV40" s="203" t="str">
        <f t="shared" si="1"/>
        <v/>
      </c>
      <c r="BW40" s="203" t="str">
        <f t="shared" si="1"/>
        <v/>
      </c>
      <c r="BX40" s="203" t="str">
        <f t="shared" si="1"/>
        <v/>
      </c>
      <c r="BY40" s="203">
        <v>2019</v>
      </c>
      <c r="CC40" s="203">
        <v>2020</v>
      </c>
    </row>
    <row r="41" spans="1:81" s="197" customFormat="1" outlineLevel="1" x14ac:dyDescent="0.25">
      <c r="A41" s="193"/>
      <c r="B41" s="194"/>
      <c r="C41" s="194"/>
      <c r="D41" s="194"/>
      <c r="E41" s="194"/>
      <c r="F41" s="195"/>
      <c r="G41" s="196"/>
      <c r="H41" s="196"/>
      <c r="I41" s="196"/>
      <c r="J41" s="196"/>
      <c r="K41" s="196"/>
      <c r="L41" s="196"/>
      <c r="M41" s="194"/>
      <c r="N41" s="194"/>
      <c r="O41" s="194"/>
      <c r="P41" s="194"/>
      <c r="Q41" s="194"/>
      <c r="R41" s="194"/>
      <c r="S41" s="194"/>
      <c r="T41" s="194"/>
      <c r="U41" s="194"/>
      <c r="V41" s="194"/>
      <c r="W41" s="194"/>
      <c r="X41" s="194"/>
      <c r="Y41" s="194"/>
      <c r="Z41" s="194"/>
      <c r="AA41" s="194"/>
      <c r="AB41" s="194"/>
      <c r="AC41" s="194"/>
    </row>
    <row r="42" spans="1:81" s="423" customFormat="1" outlineLevel="1" x14ac:dyDescent="0.25">
      <c r="A42" s="422" t="s">
        <v>396</v>
      </c>
      <c r="E42" s="423">
        <f t="shared" ref="E42:N47" si="2">IF( ISERR( FIND( "Q4", E$28 ) ), "", SUM( B29:E29 ) )</f>
        <v>10</v>
      </c>
      <c r="F42" s="423" t="str">
        <f t="shared" si="2"/>
        <v/>
      </c>
      <c r="G42" s="423" t="str">
        <f t="shared" si="2"/>
        <v/>
      </c>
      <c r="H42" s="423" t="str">
        <f t="shared" si="2"/>
        <v/>
      </c>
      <c r="I42" s="423">
        <f t="shared" si="2"/>
        <v>2</v>
      </c>
      <c r="J42" s="423" t="str">
        <f t="shared" si="2"/>
        <v/>
      </c>
      <c r="K42" s="423" t="str">
        <f t="shared" si="2"/>
        <v/>
      </c>
      <c r="L42" s="423" t="str">
        <f t="shared" si="2"/>
        <v/>
      </c>
      <c r="M42" s="423">
        <f t="shared" si="2"/>
        <v>18</v>
      </c>
      <c r="N42" s="423" t="str">
        <f t="shared" si="2"/>
        <v/>
      </c>
      <c r="O42" s="423" t="str">
        <f t="shared" ref="O42:X47" si="3">IF( ISERR( FIND( "Q4", O$28 ) ), "", SUM( L29:O29 ) )</f>
        <v/>
      </c>
      <c r="P42" s="423" t="str">
        <f t="shared" si="3"/>
        <v/>
      </c>
      <c r="Q42" s="423">
        <f t="shared" si="3"/>
        <v>16</v>
      </c>
      <c r="R42" s="423" t="str">
        <f t="shared" si="3"/>
        <v/>
      </c>
      <c r="S42" s="423" t="str">
        <f t="shared" si="3"/>
        <v/>
      </c>
      <c r="T42" s="423" t="str">
        <f t="shared" si="3"/>
        <v/>
      </c>
      <c r="U42" s="423">
        <f t="shared" si="3"/>
        <v>18</v>
      </c>
      <c r="V42" s="423" t="str">
        <f t="shared" si="3"/>
        <v/>
      </c>
      <c r="W42" s="423" t="str">
        <f t="shared" si="3"/>
        <v/>
      </c>
      <c r="X42" s="423" t="str">
        <f t="shared" si="3"/>
        <v/>
      </c>
      <c r="Y42" s="423">
        <f t="shared" ref="Y42:AH47" si="4">IF( ISERR( FIND( "Q4", Y$28 ) ), "", SUM( V29:Y29 ) )</f>
        <v>25</v>
      </c>
      <c r="Z42" s="423" t="str">
        <f t="shared" si="4"/>
        <v/>
      </c>
      <c r="AA42" s="423" t="str">
        <f t="shared" si="4"/>
        <v/>
      </c>
      <c r="AB42" s="423" t="str">
        <f t="shared" si="4"/>
        <v/>
      </c>
      <c r="AC42" s="423">
        <f t="shared" si="4"/>
        <v>28</v>
      </c>
      <c r="AD42" s="423" t="str">
        <f t="shared" si="4"/>
        <v/>
      </c>
      <c r="AE42" s="423" t="str">
        <f t="shared" si="4"/>
        <v/>
      </c>
      <c r="AF42" s="423" t="str">
        <f t="shared" si="4"/>
        <v/>
      </c>
      <c r="AG42" s="423">
        <f t="shared" si="4"/>
        <v>8</v>
      </c>
      <c r="AH42" s="423" t="str">
        <f t="shared" si="4"/>
        <v/>
      </c>
      <c r="AI42" s="423" t="str">
        <f t="shared" ref="AI42:AR47" si="5">IF( ISERR( FIND( "Q4", AI$28 ) ), "", SUM( AF29:AI29 ) )</f>
        <v/>
      </c>
      <c r="AJ42" s="423" t="str">
        <f t="shared" si="5"/>
        <v/>
      </c>
      <c r="AK42" s="423">
        <f t="shared" si="5"/>
        <v>6</v>
      </c>
      <c r="AL42" s="423" t="str">
        <f t="shared" si="5"/>
        <v/>
      </c>
      <c r="AM42" s="423" t="str">
        <f t="shared" si="5"/>
        <v/>
      </c>
      <c r="AN42" s="423" t="str">
        <f t="shared" si="5"/>
        <v/>
      </c>
      <c r="AO42" s="423">
        <f t="shared" si="5"/>
        <v>7</v>
      </c>
      <c r="AP42" s="423" t="str">
        <f t="shared" si="5"/>
        <v/>
      </c>
      <c r="AQ42" s="423" t="str">
        <f t="shared" si="5"/>
        <v/>
      </c>
      <c r="AR42" s="423" t="str">
        <f t="shared" si="5"/>
        <v/>
      </c>
      <c r="AS42" s="423">
        <f t="shared" ref="AS42:AW47" si="6">IF( ISERR( FIND( "Q4", AS$28 ) ), "", SUM( AP29:AS29 ) )</f>
        <v>14</v>
      </c>
      <c r="AT42" s="423" t="str">
        <f t="shared" si="6"/>
        <v/>
      </c>
      <c r="AU42" s="423" t="str">
        <f t="shared" si="6"/>
        <v/>
      </c>
      <c r="AV42" s="423" t="str">
        <f t="shared" si="6"/>
        <v/>
      </c>
      <c r="AW42" s="423">
        <f t="shared" si="6"/>
        <v>13</v>
      </c>
      <c r="AX42" s="423" t="str">
        <f t="shared" ref="AX42:AX47" si="7">IF( ISERR( FIND( "Q4", AX$28 ) ), "", SUM( AQ29:AX29 ) )</f>
        <v/>
      </c>
      <c r="AY42" s="423" t="str">
        <f t="shared" ref="AY42:AY47" si="8">IF( ISERR( FIND( "Q4", AY$28 ) ), "", SUM( AR29:AY29 ) )</f>
        <v/>
      </c>
      <c r="AZ42" s="423" t="str">
        <f t="shared" ref="AZ42:AZ47" si="9">IF( ISERR( FIND( "Q4", AZ$28 ) ), "", SUM( AS29:AZ29 ) )</f>
        <v/>
      </c>
      <c r="BA42" s="423">
        <f t="shared" ref="BA42:BA47" si="10">IF( ISERR( FIND( "Q4", BA$28 ) ), "", SUM( AX29:BA29 ) )</f>
        <v>10</v>
      </c>
      <c r="BB42" s="423" t="str">
        <f t="shared" ref="BB42:BB47" si="11">IF( ISERR( FIND( "Q4", BB$28 ) ), "", SUM( AQ29:BB29 ) )</f>
        <v/>
      </c>
      <c r="BC42" s="423" t="str">
        <f t="shared" ref="BC42:BC47" si="12">IF( ISERR( FIND( "Q4", BC$28 ) ), "", SUM( AR29:BC29 ) )</f>
        <v/>
      </c>
      <c r="BD42" s="423" t="str">
        <f t="shared" ref="BD42:BD47" si="13">IF( ISERR( FIND( "Q4", BD$28 ) ), "", SUM( AS29:BD29 ) )</f>
        <v/>
      </c>
      <c r="BE42" s="423">
        <f t="shared" ref="BE42:BE47" si="14">IF( ISERR( FIND( "Q4", BE$28 ) ), "", SUM( BB29:BE29 ) )</f>
        <v>12</v>
      </c>
      <c r="BF42" s="423" t="str">
        <f t="shared" ref="BF42:BF47" si="15">IF( ISERR( FIND( "Q4", BF$28 ) ), "", SUM( AQ29:BF29 ) )</f>
        <v/>
      </c>
      <c r="BG42" s="423" t="str">
        <f t="shared" ref="BG42:BG47" si="16">IF( ISERR( FIND( "Q4", BG$28 ) ), "", SUM( AR29:BG29 ) )</f>
        <v/>
      </c>
      <c r="BH42" s="423" t="str">
        <f t="shared" ref="BH42:BH47" si="17">IF( ISERR( FIND( "Q4", BH$28 ) ), "", SUM( AS29:BH29 ) )</f>
        <v/>
      </c>
      <c r="BI42" s="423">
        <f t="shared" ref="BI42:BI47" si="18">IF( ISERR( FIND( "Q4", BI$28 ) ), "", SUM( BF29:BI29 ) )</f>
        <v>6</v>
      </c>
      <c r="BJ42" s="423" t="str">
        <f t="shared" ref="BJ42:BL47" si="19">IF( ISERR( FIND( "Q4", BJ$28 ) ), "", SUM( AQ29:BJ29 ) )</f>
        <v/>
      </c>
      <c r="BK42" s="423" t="str">
        <f t="shared" si="19"/>
        <v/>
      </c>
      <c r="BL42" s="423" t="str">
        <f t="shared" si="19"/>
        <v/>
      </c>
      <c r="BM42" s="423">
        <f t="shared" ref="BM42:BM47" si="20">IF( ISERR( FIND( "Q4", BM$28 ) ), "", SUM( BJ29:BM29 ) )</f>
        <v>13</v>
      </c>
      <c r="BN42" s="423" t="str">
        <f t="shared" ref="BN42:BP47" si="21">IF( ISERR( FIND( "Q4", BN$28 ) ), "", SUM( AQ29:BN29 ) )</f>
        <v/>
      </c>
      <c r="BO42" s="423" t="str">
        <f t="shared" si="21"/>
        <v/>
      </c>
      <c r="BP42" s="423" t="str">
        <f t="shared" si="21"/>
        <v/>
      </c>
      <c r="BQ42" s="423">
        <f t="shared" ref="BQ42:BQ47" si="22">IF( ISERR( FIND( "Q4", BQ$28 ) ), "", SUM( BN29:BQ29 ) )</f>
        <v>11</v>
      </c>
      <c r="BR42" s="423" t="str">
        <f t="shared" ref="BR42:BT47" si="23">IF( ISERR( FIND( "Q4", BR$28 ) ), "", SUM( AU29:BR29 ) )</f>
        <v/>
      </c>
      <c r="BS42" s="423" t="str">
        <f t="shared" si="23"/>
        <v/>
      </c>
      <c r="BT42" s="423" t="str">
        <f t="shared" si="23"/>
        <v/>
      </c>
      <c r="BU42" s="423">
        <f t="shared" ref="BU42:BU47" si="24">IF( ISERR( FIND( "Q4", BU$28 ) ), "", SUM( BR29:BU29 ) )</f>
        <v>12</v>
      </c>
      <c r="BV42" s="423" t="str">
        <f t="shared" ref="BV42:BV47" si="25">IF( ISERR( FIND( "Q4", BV$28 ) ), "", SUM( AY29:BV29 ) )</f>
        <v/>
      </c>
      <c r="BW42" s="423" t="str">
        <f t="shared" ref="BW42:BW47" si="26">IF( ISERR( FIND( "Q4", BW$28 ) ), "", SUM( AZ29:BW29 ) )</f>
        <v/>
      </c>
      <c r="BX42" s="423" t="str">
        <f t="shared" ref="BX42:BX47" si="27">IF( ISERR( FIND( "Q4", BX$28 ) ), "", SUM( BA29:BX29 ) )</f>
        <v/>
      </c>
      <c r="BY42" s="423">
        <f t="shared" ref="BY42:BY47" si="28">IF( ISERR( FIND( "Q4", BY$28 ) ), "", SUM( BV29:BY29 ) )</f>
        <v>26</v>
      </c>
      <c r="BZ42" s="423" t="str">
        <f t="shared" ref="BZ42:BZ47" si="29">IF( ISERR( FIND( "Q4", BZ$28 ) ), "", SUM( BW29:BZ29 ) )</f>
        <v/>
      </c>
      <c r="CA42" s="423" t="str">
        <f t="shared" ref="CA42:CA47" si="30">IF( ISERR( FIND( "Q4", CA$28 ) ), "", SUM( BX29:CA29 ) )</f>
        <v/>
      </c>
      <c r="CB42" s="423" t="str">
        <f t="shared" ref="CB42:CB47" si="31">IF( ISERR( FIND( "Q4", CB$28 ) ), "", SUM( BY29:CB29 ) )</f>
        <v/>
      </c>
      <c r="CC42" s="423">
        <f t="shared" ref="CC42:CC47" si="32">IF( ISERR( FIND( "Q4", CC$28 ) ), "", SUM( BZ29:CC29 ) )</f>
        <v>0</v>
      </c>
    </row>
    <row r="43" spans="1:81" s="427" customFormat="1" outlineLevel="1" x14ac:dyDescent="0.25">
      <c r="A43" s="426" t="s">
        <v>397</v>
      </c>
      <c r="E43" s="427">
        <f t="shared" si="2"/>
        <v>-28</v>
      </c>
      <c r="F43" s="427" t="str">
        <f t="shared" si="2"/>
        <v/>
      </c>
      <c r="G43" s="427" t="str">
        <f t="shared" si="2"/>
        <v/>
      </c>
      <c r="H43" s="427" t="str">
        <f t="shared" si="2"/>
        <v/>
      </c>
      <c r="I43" s="427">
        <f t="shared" si="2"/>
        <v>-55</v>
      </c>
      <c r="J43" s="427" t="str">
        <f t="shared" si="2"/>
        <v/>
      </c>
      <c r="K43" s="427" t="str">
        <f t="shared" si="2"/>
        <v/>
      </c>
      <c r="L43" s="427" t="str">
        <f t="shared" si="2"/>
        <v/>
      </c>
      <c r="M43" s="427">
        <f t="shared" si="2"/>
        <v>-44</v>
      </c>
      <c r="N43" s="427" t="str">
        <f t="shared" si="2"/>
        <v/>
      </c>
      <c r="O43" s="427" t="str">
        <f t="shared" si="3"/>
        <v/>
      </c>
      <c r="P43" s="427" t="str">
        <f t="shared" si="3"/>
        <v/>
      </c>
      <c r="Q43" s="427">
        <f t="shared" si="3"/>
        <v>-18</v>
      </c>
      <c r="R43" s="427" t="str">
        <f t="shared" si="3"/>
        <v/>
      </c>
      <c r="S43" s="427" t="str">
        <f t="shared" si="3"/>
        <v/>
      </c>
      <c r="T43" s="427" t="str">
        <f t="shared" si="3"/>
        <v/>
      </c>
      <c r="U43" s="427">
        <f t="shared" si="3"/>
        <v>-4</v>
      </c>
      <c r="V43" s="427" t="str">
        <f t="shared" si="3"/>
        <v/>
      </c>
      <c r="W43" s="427" t="str">
        <f t="shared" si="3"/>
        <v/>
      </c>
      <c r="X43" s="427" t="str">
        <f t="shared" si="3"/>
        <v/>
      </c>
      <c r="Y43" s="427">
        <f t="shared" si="4"/>
        <v>-6</v>
      </c>
      <c r="Z43" s="427" t="str">
        <f t="shared" si="4"/>
        <v/>
      </c>
      <c r="AA43" s="427" t="str">
        <f t="shared" si="4"/>
        <v/>
      </c>
      <c r="AB43" s="427" t="str">
        <f t="shared" si="4"/>
        <v/>
      </c>
      <c r="AC43" s="427">
        <f t="shared" si="4"/>
        <v>-13</v>
      </c>
      <c r="AD43" s="427" t="str">
        <f t="shared" si="4"/>
        <v/>
      </c>
      <c r="AE43" s="427" t="str">
        <f t="shared" si="4"/>
        <v/>
      </c>
      <c r="AF43" s="427" t="str">
        <f t="shared" si="4"/>
        <v/>
      </c>
      <c r="AG43" s="427">
        <f t="shared" si="4"/>
        <v>-9</v>
      </c>
      <c r="AH43" s="427" t="str">
        <f t="shared" si="4"/>
        <v/>
      </c>
      <c r="AI43" s="427" t="str">
        <f t="shared" si="5"/>
        <v/>
      </c>
      <c r="AJ43" s="427" t="str">
        <f t="shared" si="5"/>
        <v/>
      </c>
      <c r="AK43" s="427">
        <f t="shared" si="5"/>
        <v>-8</v>
      </c>
      <c r="AL43" s="427" t="str">
        <f t="shared" si="5"/>
        <v/>
      </c>
      <c r="AM43" s="427" t="str">
        <f t="shared" si="5"/>
        <v/>
      </c>
      <c r="AN43" s="427" t="str">
        <f t="shared" si="5"/>
        <v/>
      </c>
      <c r="AO43" s="427">
        <f t="shared" si="5"/>
        <v>-17</v>
      </c>
      <c r="AP43" s="427" t="str">
        <f t="shared" si="5"/>
        <v/>
      </c>
      <c r="AQ43" s="427" t="str">
        <f t="shared" si="5"/>
        <v/>
      </c>
      <c r="AR43" s="427" t="str">
        <f t="shared" si="5"/>
        <v/>
      </c>
      <c r="AS43" s="427">
        <f t="shared" si="6"/>
        <v>-11</v>
      </c>
      <c r="AT43" s="427" t="str">
        <f t="shared" si="6"/>
        <v/>
      </c>
      <c r="AU43" s="427" t="str">
        <f t="shared" si="6"/>
        <v/>
      </c>
      <c r="AV43" s="427" t="str">
        <f t="shared" si="6"/>
        <v/>
      </c>
      <c r="AW43" s="427">
        <f t="shared" si="6"/>
        <v>-13</v>
      </c>
      <c r="AX43" s="427" t="str">
        <f t="shared" si="7"/>
        <v/>
      </c>
      <c r="AY43" s="427" t="str">
        <f t="shared" si="8"/>
        <v/>
      </c>
      <c r="AZ43" s="427" t="str">
        <f t="shared" si="9"/>
        <v/>
      </c>
      <c r="BA43" s="427">
        <f t="shared" si="10"/>
        <v>-13</v>
      </c>
      <c r="BB43" s="427" t="str">
        <f t="shared" si="11"/>
        <v/>
      </c>
      <c r="BC43" s="427" t="str">
        <f t="shared" si="12"/>
        <v/>
      </c>
      <c r="BD43" s="427" t="str">
        <f t="shared" si="13"/>
        <v/>
      </c>
      <c r="BE43" s="427">
        <f t="shared" si="14"/>
        <v>-2</v>
      </c>
      <c r="BF43" s="427" t="str">
        <f t="shared" si="15"/>
        <v/>
      </c>
      <c r="BG43" s="427" t="str">
        <f t="shared" si="16"/>
        <v/>
      </c>
      <c r="BH43" s="427" t="str">
        <f t="shared" si="17"/>
        <v/>
      </c>
      <c r="BI43" s="427">
        <f t="shared" si="18"/>
        <v>-5</v>
      </c>
      <c r="BJ43" s="427" t="str">
        <f t="shared" si="19"/>
        <v/>
      </c>
      <c r="BK43" s="427" t="str">
        <f t="shared" si="19"/>
        <v/>
      </c>
      <c r="BL43" s="427" t="str">
        <f t="shared" si="19"/>
        <v/>
      </c>
      <c r="BM43" s="427">
        <f t="shared" si="20"/>
        <v>-3</v>
      </c>
      <c r="BN43" s="427" t="str">
        <f t="shared" si="21"/>
        <v/>
      </c>
      <c r="BO43" s="427" t="str">
        <f t="shared" si="21"/>
        <v/>
      </c>
      <c r="BP43" s="427" t="str">
        <f t="shared" si="21"/>
        <v/>
      </c>
      <c r="BQ43" s="427">
        <f t="shared" si="22"/>
        <v>-4</v>
      </c>
      <c r="BR43" s="427" t="str">
        <f t="shared" si="23"/>
        <v/>
      </c>
      <c r="BS43" s="427" t="str">
        <f t="shared" si="23"/>
        <v/>
      </c>
      <c r="BT43" s="427" t="str">
        <f t="shared" si="23"/>
        <v/>
      </c>
      <c r="BU43" s="427">
        <f t="shared" si="24"/>
        <v>-21</v>
      </c>
      <c r="BV43" s="427" t="str">
        <f t="shared" si="25"/>
        <v/>
      </c>
      <c r="BW43" s="427" t="str">
        <f t="shared" si="26"/>
        <v/>
      </c>
      <c r="BX43" s="427" t="str">
        <f t="shared" si="27"/>
        <v/>
      </c>
      <c r="BY43" s="427">
        <f t="shared" si="28"/>
        <v>-10</v>
      </c>
      <c r="BZ43" s="427" t="str">
        <f t="shared" si="29"/>
        <v/>
      </c>
      <c r="CA43" s="427" t="str">
        <f t="shared" si="30"/>
        <v/>
      </c>
      <c r="CB43" s="427" t="str">
        <f t="shared" si="31"/>
        <v/>
      </c>
      <c r="CC43" s="427">
        <f t="shared" si="32"/>
        <v>-1</v>
      </c>
    </row>
    <row r="44" spans="1:81" s="423" customFormat="1" outlineLevel="1" x14ac:dyDescent="0.25">
      <c r="A44" s="422" t="s">
        <v>398</v>
      </c>
      <c r="E44" s="423">
        <f t="shared" si="2"/>
        <v>27</v>
      </c>
      <c r="F44" s="423" t="str">
        <f t="shared" si="2"/>
        <v/>
      </c>
      <c r="G44" s="423" t="str">
        <f t="shared" si="2"/>
        <v/>
      </c>
      <c r="H44" s="423" t="str">
        <f t="shared" si="2"/>
        <v/>
      </c>
      <c r="I44" s="423">
        <f t="shared" si="2"/>
        <v>5</v>
      </c>
      <c r="J44" s="423" t="str">
        <f t="shared" si="2"/>
        <v/>
      </c>
      <c r="K44" s="423" t="str">
        <f t="shared" si="2"/>
        <v/>
      </c>
      <c r="L44" s="423" t="str">
        <f t="shared" si="2"/>
        <v/>
      </c>
      <c r="M44" s="423">
        <f t="shared" si="2"/>
        <v>11</v>
      </c>
      <c r="N44" s="423" t="str">
        <f t="shared" si="2"/>
        <v/>
      </c>
      <c r="O44" s="423" t="str">
        <f t="shared" si="3"/>
        <v/>
      </c>
      <c r="P44" s="423" t="str">
        <f t="shared" si="3"/>
        <v/>
      </c>
      <c r="Q44" s="423">
        <f t="shared" si="3"/>
        <v>20</v>
      </c>
      <c r="R44" s="423" t="str">
        <f t="shared" si="3"/>
        <v/>
      </c>
      <c r="S44" s="423" t="str">
        <f t="shared" si="3"/>
        <v/>
      </c>
      <c r="T44" s="423" t="str">
        <f t="shared" si="3"/>
        <v/>
      </c>
      <c r="U44" s="423">
        <f t="shared" si="3"/>
        <v>31</v>
      </c>
      <c r="V44" s="423" t="str">
        <f t="shared" si="3"/>
        <v/>
      </c>
      <c r="W44" s="423" t="str">
        <f t="shared" si="3"/>
        <v/>
      </c>
      <c r="X44" s="423" t="str">
        <f t="shared" si="3"/>
        <v/>
      </c>
      <c r="Y44" s="423">
        <f t="shared" si="4"/>
        <v>22</v>
      </c>
      <c r="Z44" s="423" t="str">
        <f t="shared" si="4"/>
        <v/>
      </c>
      <c r="AA44" s="423" t="str">
        <f t="shared" si="4"/>
        <v/>
      </c>
      <c r="AB44" s="423" t="str">
        <f t="shared" si="4"/>
        <v/>
      </c>
      <c r="AC44" s="423">
        <f t="shared" si="4"/>
        <v>19</v>
      </c>
      <c r="AD44" s="423" t="str">
        <f t="shared" si="4"/>
        <v/>
      </c>
      <c r="AE44" s="423" t="str">
        <f t="shared" si="4"/>
        <v/>
      </c>
      <c r="AF44" s="423" t="str">
        <f t="shared" si="4"/>
        <v/>
      </c>
      <c r="AG44" s="423">
        <f t="shared" si="4"/>
        <v>3</v>
      </c>
      <c r="AH44" s="423" t="str">
        <f t="shared" si="4"/>
        <v/>
      </c>
      <c r="AI44" s="423" t="str">
        <f t="shared" si="5"/>
        <v/>
      </c>
      <c r="AJ44" s="423" t="str">
        <f t="shared" si="5"/>
        <v/>
      </c>
      <c r="AK44" s="423">
        <f t="shared" si="5"/>
        <v>5</v>
      </c>
      <c r="AL44" s="423" t="str">
        <f t="shared" si="5"/>
        <v/>
      </c>
      <c r="AM44" s="423" t="str">
        <f t="shared" si="5"/>
        <v/>
      </c>
      <c r="AN44" s="423" t="str">
        <f t="shared" si="5"/>
        <v/>
      </c>
      <c r="AO44" s="423">
        <f t="shared" si="5"/>
        <v>7</v>
      </c>
      <c r="AP44" s="423" t="str">
        <f t="shared" si="5"/>
        <v/>
      </c>
      <c r="AQ44" s="423" t="str">
        <f t="shared" si="5"/>
        <v/>
      </c>
      <c r="AR44" s="423" t="str">
        <f t="shared" si="5"/>
        <v/>
      </c>
      <c r="AS44" s="423">
        <f t="shared" si="6"/>
        <v>7</v>
      </c>
      <c r="AT44" s="423" t="str">
        <f t="shared" si="6"/>
        <v/>
      </c>
      <c r="AU44" s="423" t="str">
        <f t="shared" si="6"/>
        <v/>
      </c>
      <c r="AV44" s="423" t="str">
        <f t="shared" si="6"/>
        <v/>
      </c>
      <c r="AW44" s="423">
        <f t="shared" si="6"/>
        <v>14</v>
      </c>
      <c r="AX44" s="423" t="str">
        <f t="shared" si="7"/>
        <v/>
      </c>
      <c r="AY44" s="423" t="str">
        <f t="shared" si="8"/>
        <v/>
      </c>
      <c r="AZ44" s="423" t="str">
        <f t="shared" si="9"/>
        <v/>
      </c>
      <c r="BA44" s="423">
        <f t="shared" si="10"/>
        <v>13</v>
      </c>
      <c r="BB44" s="423" t="str">
        <f t="shared" si="11"/>
        <v/>
      </c>
      <c r="BC44" s="423" t="str">
        <f t="shared" si="12"/>
        <v/>
      </c>
      <c r="BD44" s="423" t="str">
        <f t="shared" si="13"/>
        <v/>
      </c>
      <c r="BE44" s="423">
        <f t="shared" si="14"/>
        <v>85</v>
      </c>
      <c r="BF44" s="423" t="str">
        <f t="shared" si="15"/>
        <v/>
      </c>
      <c r="BG44" s="423" t="str">
        <f t="shared" si="16"/>
        <v/>
      </c>
      <c r="BH44" s="423" t="str">
        <f t="shared" si="17"/>
        <v/>
      </c>
      <c r="BI44" s="423">
        <f t="shared" si="18"/>
        <v>9</v>
      </c>
      <c r="BJ44" s="423" t="str">
        <f t="shared" si="19"/>
        <v/>
      </c>
      <c r="BK44" s="423" t="str">
        <f t="shared" si="19"/>
        <v/>
      </c>
      <c r="BL44" s="423" t="str">
        <f t="shared" si="19"/>
        <v/>
      </c>
      <c r="BM44" s="423">
        <f t="shared" si="20"/>
        <v>5</v>
      </c>
      <c r="BN44" s="423" t="str">
        <f t="shared" si="21"/>
        <v/>
      </c>
      <c r="BO44" s="423" t="str">
        <f t="shared" si="21"/>
        <v/>
      </c>
      <c r="BP44" s="423" t="str">
        <f t="shared" si="21"/>
        <v/>
      </c>
      <c r="BQ44" s="423">
        <f t="shared" si="22"/>
        <v>10</v>
      </c>
      <c r="BR44" s="423" t="str">
        <f t="shared" si="23"/>
        <v/>
      </c>
      <c r="BS44" s="423" t="str">
        <f t="shared" si="23"/>
        <v/>
      </c>
      <c r="BT44" s="423" t="str">
        <f t="shared" si="23"/>
        <v/>
      </c>
      <c r="BU44" s="423">
        <f t="shared" si="24"/>
        <v>3</v>
      </c>
      <c r="BV44" s="423" t="str">
        <f t="shared" si="25"/>
        <v/>
      </c>
      <c r="BW44" s="423" t="str">
        <f t="shared" si="26"/>
        <v/>
      </c>
      <c r="BX44" s="423" t="str">
        <f t="shared" si="27"/>
        <v/>
      </c>
      <c r="BY44" s="423">
        <f t="shared" si="28"/>
        <v>9</v>
      </c>
      <c r="BZ44" s="423" t="str">
        <f t="shared" si="29"/>
        <v/>
      </c>
      <c r="CA44" s="423" t="str">
        <f t="shared" si="30"/>
        <v/>
      </c>
      <c r="CB44" s="423" t="str">
        <f t="shared" si="31"/>
        <v/>
      </c>
      <c r="CC44" s="423">
        <f t="shared" si="32"/>
        <v>1</v>
      </c>
    </row>
    <row r="45" spans="1:81" s="427" customFormat="1" outlineLevel="1" x14ac:dyDescent="0.25">
      <c r="A45" s="426" t="s">
        <v>400</v>
      </c>
      <c r="E45" s="427">
        <f t="shared" si="2"/>
        <v>-41</v>
      </c>
      <c r="F45" s="427" t="str">
        <f t="shared" si="2"/>
        <v/>
      </c>
      <c r="G45" s="427" t="str">
        <f t="shared" si="2"/>
        <v/>
      </c>
      <c r="H45" s="427" t="str">
        <f t="shared" si="2"/>
        <v/>
      </c>
      <c r="I45" s="427">
        <f t="shared" si="2"/>
        <v>-113</v>
      </c>
      <c r="J45" s="427" t="str">
        <f t="shared" si="2"/>
        <v/>
      </c>
      <c r="K45" s="427" t="str">
        <f t="shared" si="2"/>
        <v/>
      </c>
      <c r="L45" s="427" t="str">
        <f t="shared" si="2"/>
        <v/>
      </c>
      <c r="M45" s="427">
        <f t="shared" si="2"/>
        <v>-68</v>
      </c>
      <c r="N45" s="427" t="str">
        <f t="shared" si="2"/>
        <v/>
      </c>
      <c r="O45" s="427" t="str">
        <f t="shared" si="3"/>
        <v/>
      </c>
      <c r="P45" s="427" t="str">
        <f t="shared" si="3"/>
        <v/>
      </c>
      <c r="Q45" s="427">
        <f t="shared" si="3"/>
        <v>-22</v>
      </c>
      <c r="R45" s="427" t="str">
        <f t="shared" si="3"/>
        <v/>
      </c>
      <c r="S45" s="427" t="str">
        <f t="shared" si="3"/>
        <v/>
      </c>
      <c r="T45" s="427" t="str">
        <f t="shared" si="3"/>
        <v/>
      </c>
      <c r="U45" s="427">
        <f t="shared" si="3"/>
        <v>-15</v>
      </c>
      <c r="V45" s="427" t="str">
        <f t="shared" si="3"/>
        <v/>
      </c>
      <c r="W45" s="427" t="str">
        <f t="shared" si="3"/>
        <v/>
      </c>
      <c r="X45" s="427" t="str">
        <f t="shared" si="3"/>
        <v/>
      </c>
      <c r="Y45" s="427">
        <f t="shared" si="4"/>
        <v>-17</v>
      </c>
      <c r="Z45" s="427" t="str">
        <f t="shared" si="4"/>
        <v/>
      </c>
      <c r="AA45" s="427" t="str">
        <f t="shared" si="4"/>
        <v/>
      </c>
      <c r="AB45" s="427" t="str">
        <f t="shared" si="4"/>
        <v/>
      </c>
      <c r="AC45" s="427">
        <f t="shared" si="4"/>
        <v>-13</v>
      </c>
      <c r="AD45" s="427" t="str">
        <f t="shared" si="4"/>
        <v/>
      </c>
      <c r="AE45" s="427" t="str">
        <f t="shared" si="4"/>
        <v/>
      </c>
      <c r="AF45" s="427" t="str">
        <f t="shared" si="4"/>
        <v/>
      </c>
      <c r="AG45" s="427">
        <f t="shared" si="4"/>
        <v>-3</v>
      </c>
      <c r="AH45" s="427" t="str">
        <f t="shared" si="4"/>
        <v/>
      </c>
      <c r="AI45" s="427" t="str">
        <f t="shared" si="5"/>
        <v/>
      </c>
      <c r="AJ45" s="427" t="str">
        <f t="shared" si="5"/>
        <v/>
      </c>
      <c r="AK45" s="427">
        <f t="shared" si="5"/>
        <v>-18</v>
      </c>
      <c r="AL45" s="427" t="str">
        <f t="shared" si="5"/>
        <v/>
      </c>
      <c r="AM45" s="427" t="str">
        <f t="shared" si="5"/>
        <v/>
      </c>
      <c r="AN45" s="427" t="str">
        <f t="shared" si="5"/>
        <v/>
      </c>
      <c r="AO45" s="427">
        <f t="shared" si="5"/>
        <v>-13</v>
      </c>
      <c r="AP45" s="427" t="str">
        <f t="shared" si="5"/>
        <v/>
      </c>
      <c r="AQ45" s="427" t="str">
        <f t="shared" si="5"/>
        <v/>
      </c>
      <c r="AR45" s="427" t="str">
        <f t="shared" si="5"/>
        <v/>
      </c>
      <c r="AS45" s="427">
        <f t="shared" si="6"/>
        <v>-4</v>
      </c>
      <c r="AT45" s="427" t="str">
        <f t="shared" si="6"/>
        <v/>
      </c>
      <c r="AU45" s="427" t="str">
        <f t="shared" si="6"/>
        <v/>
      </c>
      <c r="AV45" s="427" t="str">
        <f t="shared" si="6"/>
        <v/>
      </c>
      <c r="AW45" s="427">
        <f t="shared" si="6"/>
        <v>-6</v>
      </c>
      <c r="AX45" s="427" t="str">
        <f t="shared" si="7"/>
        <v/>
      </c>
      <c r="AY45" s="427" t="str">
        <f t="shared" si="8"/>
        <v/>
      </c>
      <c r="AZ45" s="427" t="str">
        <f t="shared" si="9"/>
        <v/>
      </c>
      <c r="BA45" s="427">
        <f t="shared" si="10"/>
        <v>-4</v>
      </c>
      <c r="BB45" s="427" t="str">
        <f t="shared" si="11"/>
        <v/>
      </c>
      <c r="BC45" s="427" t="str">
        <f t="shared" si="12"/>
        <v/>
      </c>
      <c r="BD45" s="427" t="str">
        <f t="shared" si="13"/>
        <v/>
      </c>
      <c r="BE45" s="427">
        <f t="shared" si="14"/>
        <v>0</v>
      </c>
      <c r="BF45" s="427" t="str">
        <f t="shared" si="15"/>
        <v/>
      </c>
      <c r="BG45" s="427" t="str">
        <f t="shared" si="16"/>
        <v/>
      </c>
      <c r="BH45" s="427" t="str">
        <f t="shared" si="17"/>
        <v/>
      </c>
      <c r="BI45" s="427">
        <f t="shared" si="18"/>
        <v>-3</v>
      </c>
      <c r="BJ45" s="427" t="str">
        <f t="shared" si="19"/>
        <v/>
      </c>
      <c r="BK45" s="427" t="str">
        <f t="shared" si="19"/>
        <v/>
      </c>
      <c r="BL45" s="427" t="str">
        <f t="shared" si="19"/>
        <v/>
      </c>
      <c r="BM45" s="427">
        <f t="shared" si="20"/>
        <v>-8</v>
      </c>
      <c r="BN45" s="427" t="str">
        <f t="shared" si="21"/>
        <v/>
      </c>
      <c r="BO45" s="427" t="str">
        <f t="shared" si="21"/>
        <v/>
      </c>
      <c r="BP45" s="427" t="str">
        <f t="shared" si="21"/>
        <v/>
      </c>
      <c r="BQ45" s="427">
        <f t="shared" si="22"/>
        <v>-2</v>
      </c>
      <c r="BR45" s="427" t="str">
        <f t="shared" si="23"/>
        <v/>
      </c>
      <c r="BS45" s="427" t="str">
        <f t="shared" si="23"/>
        <v/>
      </c>
      <c r="BT45" s="427" t="str">
        <f t="shared" si="23"/>
        <v/>
      </c>
      <c r="BU45" s="427">
        <f t="shared" si="24"/>
        <v>-20</v>
      </c>
      <c r="BV45" s="427" t="str">
        <f t="shared" si="25"/>
        <v/>
      </c>
      <c r="BW45" s="427" t="str">
        <f t="shared" si="26"/>
        <v/>
      </c>
      <c r="BX45" s="427" t="str">
        <f t="shared" si="27"/>
        <v/>
      </c>
      <c r="BY45" s="427">
        <f t="shared" si="28"/>
        <v>-11</v>
      </c>
      <c r="BZ45" s="427" t="str">
        <f t="shared" si="29"/>
        <v/>
      </c>
      <c r="CA45" s="427" t="str">
        <f t="shared" si="30"/>
        <v/>
      </c>
      <c r="CB45" s="427" t="str">
        <f t="shared" si="31"/>
        <v/>
      </c>
      <c r="CC45" s="427">
        <f t="shared" si="32"/>
        <v>-3</v>
      </c>
    </row>
    <row r="46" spans="1:81" s="429" customFormat="1" outlineLevel="1" x14ac:dyDescent="0.25">
      <c r="A46" s="428" t="s">
        <v>399</v>
      </c>
      <c r="E46" s="429">
        <f t="shared" si="2"/>
        <v>20</v>
      </c>
      <c r="F46" s="429" t="str">
        <f t="shared" si="2"/>
        <v/>
      </c>
      <c r="G46" s="429" t="str">
        <f t="shared" si="2"/>
        <v/>
      </c>
      <c r="H46" s="429" t="str">
        <f t="shared" si="2"/>
        <v/>
      </c>
      <c r="I46" s="429">
        <f t="shared" si="2"/>
        <v>14</v>
      </c>
      <c r="J46" s="429" t="str">
        <f t="shared" si="2"/>
        <v/>
      </c>
      <c r="K46" s="429" t="str">
        <f t="shared" si="2"/>
        <v/>
      </c>
      <c r="L46" s="429" t="str">
        <f t="shared" si="2"/>
        <v/>
      </c>
      <c r="M46" s="429">
        <f t="shared" si="2"/>
        <v>6</v>
      </c>
      <c r="N46" s="429" t="str">
        <f t="shared" si="2"/>
        <v/>
      </c>
      <c r="O46" s="429" t="str">
        <f t="shared" si="3"/>
        <v/>
      </c>
      <c r="P46" s="429" t="str">
        <f t="shared" si="3"/>
        <v/>
      </c>
      <c r="Q46" s="429">
        <f t="shared" si="3"/>
        <v>15</v>
      </c>
      <c r="R46" s="429" t="str">
        <f t="shared" si="3"/>
        <v/>
      </c>
      <c r="S46" s="429" t="str">
        <f t="shared" si="3"/>
        <v/>
      </c>
      <c r="T46" s="429" t="str">
        <f t="shared" si="3"/>
        <v/>
      </c>
      <c r="U46" s="429">
        <f t="shared" si="3"/>
        <v>24</v>
      </c>
      <c r="V46" s="429" t="str">
        <f t="shared" si="3"/>
        <v/>
      </c>
      <c r="W46" s="429" t="str">
        <f t="shared" si="3"/>
        <v/>
      </c>
      <c r="X46" s="429" t="str">
        <f t="shared" si="3"/>
        <v/>
      </c>
      <c r="Y46" s="429">
        <f t="shared" si="4"/>
        <v>20</v>
      </c>
      <c r="Z46" s="429" t="str">
        <f t="shared" si="4"/>
        <v/>
      </c>
      <c r="AA46" s="429" t="str">
        <f t="shared" si="4"/>
        <v/>
      </c>
      <c r="AB46" s="429" t="str">
        <f t="shared" si="4"/>
        <v/>
      </c>
      <c r="AC46" s="429">
        <f t="shared" si="4"/>
        <v>26</v>
      </c>
      <c r="AD46" s="429" t="str">
        <f t="shared" si="4"/>
        <v/>
      </c>
      <c r="AE46" s="429" t="str">
        <f t="shared" si="4"/>
        <v/>
      </c>
      <c r="AF46" s="429" t="str">
        <f t="shared" si="4"/>
        <v/>
      </c>
      <c r="AG46" s="429">
        <f t="shared" si="4"/>
        <v>13</v>
      </c>
      <c r="AH46" s="429" t="str">
        <f t="shared" si="4"/>
        <v/>
      </c>
      <c r="AI46" s="429" t="str">
        <f t="shared" si="5"/>
        <v/>
      </c>
      <c r="AJ46" s="429" t="str">
        <f t="shared" si="5"/>
        <v/>
      </c>
      <c r="AK46" s="429">
        <f t="shared" si="5"/>
        <v>12</v>
      </c>
      <c r="AL46" s="429" t="str">
        <f t="shared" si="5"/>
        <v/>
      </c>
      <c r="AM46" s="429" t="str">
        <f t="shared" si="5"/>
        <v/>
      </c>
      <c r="AN46" s="429" t="str">
        <f t="shared" si="5"/>
        <v/>
      </c>
      <c r="AO46" s="429">
        <f t="shared" si="5"/>
        <v>15</v>
      </c>
      <c r="AP46" s="429" t="str">
        <f t="shared" si="5"/>
        <v/>
      </c>
      <c r="AQ46" s="429" t="str">
        <f t="shared" si="5"/>
        <v/>
      </c>
      <c r="AR46" s="429" t="str">
        <f t="shared" si="5"/>
        <v/>
      </c>
      <c r="AS46" s="429">
        <f t="shared" si="6"/>
        <v>18</v>
      </c>
      <c r="AT46" s="429" t="str">
        <f t="shared" si="6"/>
        <v/>
      </c>
      <c r="AU46" s="429" t="str">
        <f t="shared" si="6"/>
        <v/>
      </c>
      <c r="AV46" s="429" t="str">
        <f t="shared" si="6"/>
        <v/>
      </c>
      <c r="AW46" s="429">
        <f t="shared" si="6"/>
        <v>10</v>
      </c>
      <c r="AX46" s="429" t="str">
        <f t="shared" si="7"/>
        <v/>
      </c>
      <c r="AY46" s="429" t="str">
        <f t="shared" si="8"/>
        <v/>
      </c>
      <c r="AZ46" s="429" t="str">
        <f t="shared" si="9"/>
        <v/>
      </c>
      <c r="BA46" s="429">
        <f t="shared" si="10"/>
        <v>37</v>
      </c>
      <c r="BB46" s="429" t="str">
        <f t="shared" si="11"/>
        <v/>
      </c>
      <c r="BC46" s="429" t="str">
        <f t="shared" si="12"/>
        <v/>
      </c>
      <c r="BD46" s="429" t="str">
        <f t="shared" si="13"/>
        <v/>
      </c>
      <c r="BE46" s="429">
        <f t="shared" si="14"/>
        <v>6</v>
      </c>
      <c r="BF46" s="429" t="str">
        <f t="shared" si="15"/>
        <v/>
      </c>
      <c r="BG46" s="429" t="str">
        <f t="shared" si="16"/>
        <v/>
      </c>
      <c r="BH46" s="429" t="str">
        <f t="shared" si="17"/>
        <v/>
      </c>
      <c r="BI46" s="429">
        <f t="shared" si="18"/>
        <v>20</v>
      </c>
      <c r="BJ46" s="429" t="str">
        <f t="shared" si="19"/>
        <v/>
      </c>
      <c r="BK46" s="429" t="str">
        <f t="shared" si="19"/>
        <v/>
      </c>
      <c r="BL46" s="429" t="str">
        <f t="shared" si="19"/>
        <v/>
      </c>
      <c r="BM46" s="429">
        <f t="shared" si="20"/>
        <v>31</v>
      </c>
      <c r="BN46" s="429" t="str">
        <f t="shared" si="21"/>
        <v/>
      </c>
      <c r="BO46" s="429" t="str">
        <f t="shared" si="21"/>
        <v/>
      </c>
      <c r="BP46" s="429" t="str">
        <f t="shared" si="21"/>
        <v/>
      </c>
      <c r="BQ46" s="429">
        <f t="shared" si="22"/>
        <v>17</v>
      </c>
      <c r="BR46" s="429" t="str">
        <f t="shared" si="23"/>
        <v/>
      </c>
      <c r="BS46" s="429" t="str">
        <f t="shared" si="23"/>
        <v/>
      </c>
      <c r="BT46" s="429" t="str">
        <f t="shared" si="23"/>
        <v/>
      </c>
      <c r="BU46" s="429">
        <f t="shared" si="24"/>
        <v>26</v>
      </c>
      <c r="BV46" s="429" t="str">
        <f t="shared" si="25"/>
        <v/>
      </c>
      <c r="BW46" s="429" t="str">
        <f t="shared" si="26"/>
        <v/>
      </c>
      <c r="BX46" s="429" t="str">
        <f t="shared" si="27"/>
        <v/>
      </c>
      <c r="BY46" s="429">
        <f t="shared" si="28"/>
        <v>20</v>
      </c>
      <c r="BZ46" s="429" t="str">
        <f t="shared" si="29"/>
        <v/>
      </c>
      <c r="CA46" s="429" t="str">
        <f t="shared" si="30"/>
        <v/>
      </c>
      <c r="CB46" s="429" t="str">
        <f t="shared" si="31"/>
        <v/>
      </c>
      <c r="CC46" s="429">
        <f t="shared" si="32"/>
        <v>0</v>
      </c>
    </row>
    <row r="47" spans="1:81" s="427" customFormat="1" outlineLevel="1" x14ac:dyDescent="0.25">
      <c r="A47" s="426" t="s">
        <v>401</v>
      </c>
      <c r="E47" s="427">
        <f t="shared" si="2"/>
        <v>-81</v>
      </c>
      <c r="F47" s="427" t="str">
        <f t="shared" si="2"/>
        <v/>
      </c>
      <c r="G47" s="427" t="str">
        <f t="shared" si="2"/>
        <v/>
      </c>
      <c r="H47" s="427" t="str">
        <f t="shared" si="2"/>
        <v/>
      </c>
      <c r="I47" s="427">
        <f t="shared" si="2"/>
        <v>-111</v>
      </c>
      <c r="J47" s="427" t="str">
        <f t="shared" si="2"/>
        <v/>
      </c>
      <c r="K47" s="427" t="str">
        <f t="shared" si="2"/>
        <v/>
      </c>
      <c r="L47" s="427" t="str">
        <f t="shared" si="2"/>
        <v/>
      </c>
      <c r="M47" s="427">
        <f t="shared" si="2"/>
        <v>-106</v>
      </c>
      <c r="N47" s="427" t="str">
        <f t="shared" si="2"/>
        <v/>
      </c>
      <c r="O47" s="427" t="str">
        <f t="shared" si="3"/>
        <v/>
      </c>
      <c r="P47" s="427" t="str">
        <f t="shared" si="3"/>
        <v/>
      </c>
      <c r="Q47" s="427">
        <f t="shared" si="3"/>
        <v>-19</v>
      </c>
      <c r="R47" s="427" t="str">
        <f t="shared" si="3"/>
        <v/>
      </c>
      <c r="S47" s="427" t="str">
        <f t="shared" si="3"/>
        <v/>
      </c>
      <c r="T47" s="427" t="str">
        <f t="shared" si="3"/>
        <v/>
      </c>
      <c r="U47" s="427">
        <f t="shared" si="3"/>
        <v>-29</v>
      </c>
      <c r="V47" s="427" t="str">
        <f t="shared" si="3"/>
        <v/>
      </c>
      <c r="W47" s="427" t="str">
        <f t="shared" si="3"/>
        <v/>
      </c>
      <c r="X47" s="427" t="str">
        <f t="shared" si="3"/>
        <v/>
      </c>
      <c r="Y47" s="427">
        <f t="shared" si="4"/>
        <v>-20</v>
      </c>
      <c r="Z47" s="427" t="str">
        <f t="shared" si="4"/>
        <v/>
      </c>
      <c r="AA47" s="427" t="str">
        <f t="shared" si="4"/>
        <v/>
      </c>
      <c r="AB47" s="427" t="str">
        <f t="shared" si="4"/>
        <v/>
      </c>
      <c r="AC47" s="427">
        <f t="shared" si="4"/>
        <v>-22</v>
      </c>
      <c r="AD47" s="427" t="str">
        <f t="shared" si="4"/>
        <v/>
      </c>
      <c r="AE47" s="427" t="str">
        <f t="shared" si="4"/>
        <v/>
      </c>
      <c r="AF47" s="427" t="str">
        <f t="shared" si="4"/>
        <v/>
      </c>
      <c r="AG47" s="427">
        <f t="shared" si="4"/>
        <v>-14</v>
      </c>
      <c r="AH47" s="427" t="str">
        <f t="shared" si="4"/>
        <v/>
      </c>
      <c r="AI47" s="427" t="str">
        <f t="shared" si="5"/>
        <v/>
      </c>
      <c r="AJ47" s="427" t="str">
        <f t="shared" si="5"/>
        <v/>
      </c>
      <c r="AK47" s="427">
        <f t="shared" si="5"/>
        <v>-8</v>
      </c>
      <c r="AL47" s="427" t="str">
        <f t="shared" si="5"/>
        <v/>
      </c>
      <c r="AM47" s="427" t="str">
        <f t="shared" si="5"/>
        <v/>
      </c>
      <c r="AN47" s="427" t="str">
        <f t="shared" si="5"/>
        <v/>
      </c>
      <c r="AO47" s="427">
        <f t="shared" si="5"/>
        <v>-21</v>
      </c>
      <c r="AP47" s="427" t="str">
        <f t="shared" si="5"/>
        <v/>
      </c>
      <c r="AQ47" s="427" t="str">
        <f t="shared" si="5"/>
        <v/>
      </c>
      <c r="AR47" s="427" t="str">
        <f t="shared" si="5"/>
        <v/>
      </c>
      <c r="AS47" s="427">
        <f t="shared" si="6"/>
        <v>-6</v>
      </c>
      <c r="AT47" s="427" t="str">
        <f t="shared" si="6"/>
        <v/>
      </c>
      <c r="AU47" s="427" t="str">
        <f t="shared" si="6"/>
        <v/>
      </c>
      <c r="AV47" s="427" t="str">
        <f t="shared" si="6"/>
        <v/>
      </c>
      <c r="AW47" s="427">
        <f t="shared" si="6"/>
        <v>-20</v>
      </c>
      <c r="AX47" s="427" t="str">
        <f t="shared" si="7"/>
        <v/>
      </c>
      <c r="AY47" s="427" t="str">
        <f t="shared" si="8"/>
        <v/>
      </c>
      <c r="AZ47" s="427" t="str">
        <f t="shared" si="9"/>
        <v/>
      </c>
      <c r="BA47" s="427">
        <f t="shared" si="10"/>
        <v>-3</v>
      </c>
      <c r="BB47" s="427" t="str">
        <f t="shared" si="11"/>
        <v/>
      </c>
      <c r="BC47" s="427" t="str">
        <f t="shared" si="12"/>
        <v/>
      </c>
      <c r="BD47" s="427" t="str">
        <f t="shared" si="13"/>
        <v/>
      </c>
      <c r="BE47" s="427">
        <f t="shared" si="14"/>
        <v>-1</v>
      </c>
      <c r="BF47" s="427" t="str">
        <f t="shared" si="15"/>
        <v/>
      </c>
      <c r="BG47" s="427" t="str">
        <f t="shared" si="16"/>
        <v/>
      </c>
      <c r="BH47" s="427" t="str">
        <f t="shared" si="17"/>
        <v/>
      </c>
      <c r="BI47" s="427">
        <f t="shared" si="18"/>
        <v>-7</v>
      </c>
      <c r="BJ47" s="427" t="str">
        <f t="shared" si="19"/>
        <v/>
      </c>
      <c r="BK47" s="427" t="str">
        <f t="shared" si="19"/>
        <v/>
      </c>
      <c r="BL47" s="427" t="str">
        <f t="shared" si="19"/>
        <v/>
      </c>
      <c r="BM47" s="427">
        <f t="shared" si="20"/>
        <v>-7</v>
      </c>
      <c r="BN47" s="427" t="str">
        <f t="shared" si="21"/>
        <v/>
      </c>
      <c r="BO47" s="427" t="str">
        <f t="shared" si="21"/>
        <v/>
      </c>
      <c r="BP47" s="427" t="str">
        <f t="shared" si="21"/>
        <v/>
      </c>
      <c r="BQ47" s="427">
        <f t="shared" si="22"/>
        <v>-8</v>
      </c>
      <c r="BR47" s="427" t="str">
        <f t="shared" si="23"/>
        <v/>
      </c>
      <c r="BS47" s="427" t="str">
        <f t="shared" si="23"/>
        <v/>
      </c>
      <c r="BT47" s="427" t="str">
        <f t="shared" si="23"/>
        <v/>
      </c>
      <c r="BU47" s="427">
        <f t="shared" si="24"/>
        <v>-11</v>
      </c>
      <c r="BV47" s="427" t="str">
        <f t="shared" si="25"/>
        <v/>
      </c>
      <c r="BW47" s="427" t="str">
        <f t="shared" si="26"/>
        <v/>
      </c>
      <c r="BX47" s="427" t="str">
        <f t="shared" si="27"/>
        <v/>
      </c>
      <c r="BY47" s="427">
        <f t="shared" si="28"/>
        <v>-14</v>
      </c>
      <c r="BZ47" s="427" t="str">
        <f t="shared" si="29"/>
        <v/>
      </c>
      <c r="CA47" s="427" t="str">
        <f t="shared" si="30"/>
        <v/>
      </c>
      <c r="CB47" s="427" t="str">
        <f t="shared" si="31"/>
        <v/>
      </c>
      <c r="CC47" s="427">
        <f t="shared" si="32"/>
        <v>0</v>
      </c>
    </row>
    <row r="48" spans="1:81" s="174" customFormat="1" outlineLevel="1" x14ac:dyDescent="0.25">
      <c r="B48" s="176"/>
      <c r="C48" s="176"/>
      <c r="D48" s="176"/>
      <c r="E48" s="176"/>
      <c r="F48" s="177"/>
      <c r="G48" s="178"/>
      <c r="H48" s="178"/>
      <c r="I48" s="178"/>
      <c r="J48" s="178"/>
      <c r="K48" s="178"/>
      <c r="L48" s="179"/>
      <c r="M48" s="176"/>
      <c r="N48" s="176"/>
      <c r="O48" s="176"/>
      <c r="P48" s="176"/>
      <c r="Q48" s="176"/>
      <c r="R48" s="176"/>
      <c r="S48" s="176"/>
      <c r="T48" s="176"/>
      <c r="U48" s="176"/>
      <c r="V48" s="176"/>
      <c r="W48" s="176"/>
      <c r="X48" s="180"/>
      <c r="Y48" s="180"/>
      <c r="Z48" s="180"/>
      <c r="AA48" s="180"/>
      <c r="AB48" s="180"/>
      <c r="AC48" s="180"/>
    </row>
    <row r="49" spans="1:81" s="174" customFormat="1" outlineLevel="1" x14ac:dyDescent="0.25">
      <c r="B49" s="176"/>
      <c r="C49" s="176"/>
      <c r="D49" s="176"/>
      <c r="E49" s="176"/>
      <c r="F49" s="177"/>
      <c r="G49" s="178"/>
      <c r="H49" s="178"/>
      <c r="I49" s="178"/>
      <c r="J49" s="178"/>
      <c r="K49" s="178"/>
      <c r="L49" s="179"/>
      <c r="M49" s="176"/>
      <c r="N49" s="176"/>
      <c r="O49" s="176"/>
      <c r="P49" s="176"/>
      <c r="Q49" s="176"/>
      <c r="R49" s="176"/>
      <c r="S49" s="176"/>
      <c r="T49" s="176"/>
      <c r="U49" s="176"/>
      <c r="V49" s="176"/>
      <c r="W49" s="176"/>
      <c r="X49" s="180"/>
      <c r="Y49" s="180"/>
      <c r="Z49" s="180"/>
      <c r="AA49" s="180"/>
      <c r="AB49" s="180"/>
      <c r="AC49" s="180"/>
    </row>
    <row r="50" spans="1:81" s="423" customFormat="1" outlineLevel="1" x14ac:dyDescent="0.25">
      <c r="A50" s="422" t="s">
        <v>402</v>
      </c>
      <c r="E50" s="423">
        <f t="shared" ref="E50:AR50" si="33">IF( LEN( E42 ) = 0, "", ABS( E42 ) + ABS( E43 ) )</f>
        <v>38</v>
      </c>
      <c r="F50" s="423" t="str">
        <f t="shared" si="33"/>
        <v/>
      </c>
      <c r="G50" s="423" t="str">
        <f t="shared" si="33"/>
        <v/>
      </c>
      <c r="H50" s="423" t="str">
        <f t="shared" si="33"/>
        <v/>
      </c>
      <c r="I50" s="423">
        <f t="shared" si="33"/>
        <v>57</v>
      </c>
      <c r="J50" s="423" t="str">
        <f t="shared" si="33"/>
        <v/>
      </c>
      <c r="K50" s="423" t="str">
        <f t="shared" si="33"/>
        <v/>
      </c>
      <c r="L50" s="423" t="str">
        <f t="shared" si="33"/>
        <v/>
      </c>
      <c r="M50" s="423">
        <f t="shared" si="33"/>
        <v>62</v>
      </c>
      <c r="N50" s="423" t="str">
        <f t="shared" si="33"/>
        <v/>
      </c>
      <c r="O50" s="423" t="str">
        <f t="shared" si="33"/>
        <v/>
      </c>
      <c r="P50" s="423" t="str">
        <f t="shared" si="33"/>
        <v/>
      </c>
      <c r="Q50" s="423">
        <f t="shared" si="33"/>
        <v>34</v>
      </c>
      <c r="R50" s="423" t="str">
        <f t="shared" si="33"/>
        <v/>
      </c>
      <c r="S50" s="423" t="str">
        <f t="shared" si="33"/>
        <v/>
      </c>
      <c r="T50" s="423" t="str">
        <f t="shared" si="33"/>
        <v/>
      </c>
      <c r="U50" s="423">
        <f t="shared" si="33"/>
        <v>22</v>
      </c>
      <c r="V50" s="423" t="str">
        <f t="shared" si="33"/>
        <v/>
      </c>
      <c r="W50" s="423" t="str">
        <f t="shared" si="33"/>
        <v/>
      </c>
      <c r="X50" s="423" t="str">
        <f t="shared" si="33"/>
        <v/>
      </c>
      <c r="Y50" s="423">
        <f t="shared" si="33"/>
        <v>31</v>
      </c>
      <c r="Z50" s="423" t="str">
        <f t="shared" si="33"/>
        <v/>
      </c>
      <c r="AA50" s="423" t="str">
        <f t="shared" si="33"/>
        <v/>
      </c>
      <c r="AB50" s="423" t="str">
        <f t="shared" si="33"/>
        <v/>
      </c>
      <c r="AC50" s="423">
        <f t="shared" si="33"/>
        <v>41</v>
      </c>
      <c r="AD50" s="423" t="str">
        <f t="shared" si="33"/>
        <v/>
      </c>
      <c r="AE50" s="423" t="str">
        <f t="shared" si="33"/>
        <v/>
      </c>
      <c r="AF50" s="423" t="str">
        <f t="shared" si="33"/>
        <v/>
      </c>
      <c r="AG50" s="423">
        <f t="shared" si="33"/>
        <v>17</v>
      </c>
      <c r="AH50" s="423" t="str">
        <f t="shared" si="33"/>
        <v/>
      </c>
      <c r="AI50" s="423" t="str">
        <f t="shared" si="33"/>
        <v/>
      </c>
      <c r="AJ50" s="423" t="str">
        <f t="shared" si="33"/>
        <v/>
      </c>
      <c r="AK50" s="423">
        <f t="shared" si="33"/>
        <v>14</v>
      </c>
      <c r="AL50" s="423" t="str">
        <f t="shared" si="33"/>
        <v/>
      </c>
      <c r="AM50" s="423" t="str">
        <f t="shared" si="33"/>
        <v/>
      </c>
      <c r="AN50" s="423" t="str">
        <f t="shared" si="33"/>
        <v/>
      </c>
      <c r="AO50" s="423">
        <f t="shared" si="33"/>
        <v>24</v>
      </c>
      <c r="AP50" s="423" t="str">
        <f t="shared" si="33"/>
        <v/>
      </c>
      <c r="AQ50" s="423" t="str">
        <f t="shared" si="33"/>
        <v/>
      </c>
      <c r="AR50" s="423" t="str">
        <f t="shared" si="33"/>
        <v/>
      </c>
      <c r="AS50" s="423">
        <f t="shared" ref="AS50:BU50" si="34">IF( LEN( AS42 ) = 0, "", ABS( AS42 ) + ABS( AS43 ) )</f>
        <v>25</v>
      </c>
      <c r="AT50" s="423" t="str">
        <f t="shared" si="34"/>
        <v/>
      </c>
      <c r="AU50" s="423" t="str">
        <f t="shared" si="34"/>
        <v/>
      </c>
      <c r="AV50" s="423" t="str">
        <f t="shared" si="34"/>
        <v/>
      </c>
      <c r="AW50" s="423">
        <f t="shared" si="34"/>
        <v>26</v>
      </c>
      <c r="AX50" s="423" t="str">
        <f t="shared" ref="AX50:BQ50" si="35">IF( LEN( AX42 ) = 0, "", ABS( AX42 ) + ABS( AX43 ) )</f>
        <v/>
      </c>
      <c r="AY50" s="423" t="str">
        <f t="shared" si="35"/>
        <v/>
      </c>
      <c r="AZ50" s="423" t="str">
        <f t="shared" si="35"/>
        <v/>
      </c>
      <c r="BA50" s="423">
        <f t="shared" si="35"/>
        <v>23</v>
      </c>
      <c r="BB50" s="423" t="str">
        <f t="shared" si="35"/>
        <v/>
      </c>
      <c r="BC50" s="423" t="str">
        <f t="shared" si="35"/>
        <v/>
      </c>
      <c r="BD50" s="423" t="str">
        <f t="shared" si="35"/>
        <v/>
      </c>
      <c r="BE50" s="423">
        <f t="shared" si="35"/>
        <v>14</v>
      </c>
      <c r="BF50" s="423" t="str">
        <f t="shared" si="35"/>
        <v/>
      </c>
      <c r="BG50" s="423" t="str">
        <f t="shared" si="35"/>
        <v/>
      </c>
      <c r="BH50" s="423" t="str">
        <f t="shared" si="35"/>
        <v/>
      </c>
      <c r="BI50" s="423">
        <f t="shared" si="35"/>
        <v>11</v>
      </c>
      <c r="BJ50" s="423" t="str">
        <f t="shared" si="35"/>
        <v/>
      </c>
      <c r="BK50" s="423" t="str">
        <f t="shared" si="35"/>
        <v/>
      </c>
      <c r="BL50" s="423" t="str">
        <f t="shared" si="35"/>
        <v/>
      </c>
      <c r="BM50" s="423">
        <f t="shared" si="35"/>
        <v>16</v>
      </c>
      <c r="BN50" s="423" t="str">
        <f t="shared" si="35"/>
        <v/>
      </c>
      <c r="BO50" s="423" t="str">
        <f t="shared" si="35"/>
        <v/>
      </c>
      <c r="BP50" s="423" t="str">
        <f t="shared" si="35"/>
        <v/>
      </c>
      <c r="BQ50" s="423">
        <f t="shared" si="35"/>
        <v>15</v>
      </c>
      <c r="BR50" s="423" t="str">
        <f t="shared" si="34"/>
        <v/>
      </c>
      <c r="BS50" s="423" t="str">
        <f t="shared" si="34"/>
        <v/>
      </c>
      <c r="BT50" s="423" t="str">
        <f t="shared" si="34"/>
        <v/>
      </c>
      <c r="BU50" s="423">
        <f t="shared" si="34"/>
        <v>33</v>
      </c>
      <c r="BV50" s="423" t="str">
        <f t="shared" ref="BV50:CC50" si="36">IF( LEN( BV42 ) = 0, "", ABS( BV42 ) + ABS( BV43 ) )</f>
        <v/>
      </c>
      <c r="BW50" s="423" t="str">
        <f t="shared" si="36"/>
        <v/>
      </c>
      <c r="BX50" s="423" t="str">
        <f t="shared" si="36"/>
        <v/>
      </c>
      <c r="BY50" s="423">
        <f t="shared" si="36"/>
        <v>36</v>
      </c>
      <c r="BZ50" s="423" t="str">
        <f t="shared" si="36"/>
        <v/>
      </c>
      <c r="CA50" s="423" t="str">
        <f t="shared" si="36"/>
        <v/>
      </c>
      <c r="CB50" s="423" t="str">
        <f t="shared" si="36"/>
        <v/>
      </c>
      <c r="CC50" s="423">
        <f t="shared" si="36"/>
        <v>1</v>
      </c>
    </row>
    <row r="51" spans="1:81" s="425" customFormat="1" outlineLevel="1" x14ac:dyDescent="0.25">
      <c r="A51" s="424" t="s">
        <v>403</v>
      </c>
      <c r="E51" s="425">
        <f t="shared" ref="E51:AN51" si="37">IF( LEN( E44 ) = 0, "", ABS( E44 ) + ABS( E45 ) )</f>
        <v>68</v>
      </c>
      <c r="F51" s="425" t="str">
        <f t="shared" si="37"/>
        <v/>
      </c>
      <c r="G51" s="425" t="str">
        <f t="shared" si="37"/>
        <v/>
      </c>
      <c r="H51" s="425" t="str">
        <f t="shared" si="37"/>
        <v/>
      </c>
      <c r="I51" s="425">
        <f t="shared" si="37"/>
        <v>118</v>
      </c>
      <c r="J51" s="425" t="str">
        <f t="shared" si="37"/>
        <v/>
      </c>
      <c r="K51" s="425" t="str">
        <f t="shared" si="37"/>
        <v/>
      </c>
      <c r="L51" s="425" t="str">
        <f t="shared" si="37"/>
        <v/>
      </c>
      <c r="M51" s="425">
        <f t="shared" si="37"/>
        <v>79</v>
      </c>
      <c r="N51" s="425" t="str">
        <f t="shared" si="37"/>
        <v/>
      </c>
      <c r="O51" s="425" t="str">
        <f t="shared" si="37"/>
        <v/>
      </c>
      <c r="P51" s="425" t="str">
        <f t="shared" si="37"/>
        <v/>
      </c>
      <c r="Q51" s="425">
        <f t="shared" si="37"/>
        <v>42</v>
      </c>
      <c r="R51" s="425" t="str">
        <f t="shared" si="37"/>
        <v/>
      </c>
      <c r="S51" s="425" t="str">
        <f t="shared" si="37"/>
        <v/>
      </c>
      <c r="T51" s="425" t="str">
        <f t="shared" si="37"/>
        <v/>
      </c>
      <c r="U51" s="425">
        <f t="shared" si="37"/>
        <v>46</v>
      </c>
      <c r="V51" s="425" t="str">
        <f t="shared" si="37"/>
        <v/>
      </c>
      <c r="W51" s="425" t="str">
        <f t="shared" si="37"/>
        <v/>
      </c>
      <c r="X51" s="425" t="str">
        <f t="shared" si="37"/>
        <v/>
      </c>
      <c r="Y51" s="425">
        <f t="shared" si="37"/>
        <v>39</v>
      </c>
      <c r="Z51" s="425" t="str">
        <f t="shared" si="37"/>
        <v/>
      </c>
      <c r="AA51" s="425" t="str">
        <f t="shared" si="37"/>
        <v/>
      </c>
      <c r="AB51" s="425" t="str">
        <f t="shared" si="37"/>
        <v/>
      </c>
      <c r="AC51" s="425">
        <f t="shared" si="37"/>
        <v>32</v>
      </c>
      <c r="AD51" s="425" t="str">
        <f t="shared" si="37"/>
        <v/>
      </c>
      <c r="AE51" s="425" t="str">
        <f t="shared" si="37"/>
        <v/>
      </c>
      <c r="AF51" s="425" t="str">
        <f t="shared" si="37"/>
        <v/>
      </c>
      <c r="AG51" s="425">
        <f t="shared" si="37"/>
        <v>6</v>
      </c>
      <c r="AH51" s="425" t="str">
        <f t="shared" si="37"/>
        <v/>
      </c>
      <c r="AI51" s="425" t="str">
        <f t="shared" si="37"/>
        <v/>
      </c>
      <c r="AJ51" s="425" t="str">
        <f t="shared" si="37"/>
        <v/>
      </c>
      <c r="AK51" s="425">
        <f t="shared" si="37"/>
        <v>23</v>
      </c>
      <c r="AL51" s="425" t="str">
        <f t="shared" si="37"/>
        <v/>
      </c>
      <c r="AM51" s="425" t="str">
        <f t="shared" si="37"/>
        <v/>
      </c>
      <c r="AN51" s="425" t="str">
        <f t="shared" si="37"/>
        <v/>
      </c>
      <c r="AO51" s="425">
        <f>IF( LEN( AO44 ) = 0, "", ABS( AO44 ) + ABS( AO45 ) )</f>
        <v>20</v>
      </c>
      <c r="AP51" s="425" t="str">
        <f t="shared" ref="AP51:AW51" si="38">IF( LEN( AP44 ) = 0, "", ABS( AP44 ) + ABS( AP45 ) )</f>
        <v/>
      </c>
      <c r="AQ51" s="425" t="str">
        <f t="shared" si="38"/>
        <v/>
      </c>
      <c r="AR51" s="425" t="str">
        <f t="shared" si="38"/>
        <v/>
      </c>
      <c r="AS51" s="425">
        <f t="shared" si="38"/>
        <v>11</v>
      </c>
      <c r="AT51" s="425" t="str">
        <f t="shared" si="38"/>
        <v/>
      </c>
      <c r="AU51" s="425" t="str">
        <f t="shared" si="38"/>
        <v/>
      </c>
      <c r="AV51" s="425" t="str">
        <f t="shared" si="38"/>
        <v/>
      </c>
      <c r="AW51" s="425">
        <f t="shared" si="38"/>
        <v>20</v>
      </c>
      <c r="AX51" s="425" t="str">
        <f t="shared" ref="AX51:BU51" si="39">IF( LEN( AX44 ) = 0, "", ABS( AX44 ) + ABS( AX45 ) )</f>
        <v/>
      </c>
      <c r="AY51" s="425" t="str">
        <f t="shared" si="39"/>
        <v/>
      </c>
      <c r="AZ51" s="425" t="str">
        <f t="shared" si="39"/>
        <v/>
      </c>
      <c r="BA51" s="425">
        <f t="shared" si="39"/>
        <v>17</v>
      </c>
      <c r="BB51" s="425" t="str">
        <f t="shared" ref="BB51:BQ51" si="40">IF( LEN( BB44 ) = 0, "", ABS( BB44 ) + ABS( BB45 ) )</f>
        <v/>
      </c>
      <c r="BC51" s="425" t="str">
        <f t="shared" si="40"/>
        <v/>
      </c>
      <c r="BD51" s="425" t="str">
        <f t="shared" si="40"/>
        <v/>
      </c>
      <c r="BE51" s="425">
        <f t="shared" si="40"/>
        <v>85</v>
      </c>
      <c r="BF51" s="425" t="str">
        <f t="shared" si="40"/>
        <v/>
      </c>
      <c r="BG51" s="425" t="str">
        <f t="shared" si="40"/>
        <v/>
      </c>
      <c r="BH51" s="425" t="str">
        <f t="shared" si="40"/>
        <v/>
      </c>
      <c r="BI51" s="425">
        <f t="shared" si="40"/>
        <v>12</v>
      </c>
      <c r="BJ51" s="425" t="str">
        <f t="shared" si="40"/>
        <v/>
      </c>
      <c r="BK51" s="425" t="str">
        <f t="shared" si="40"/>
        <v/>
      </c>
      <c r="BL51" s="425" t="str">
        <f t="shared" si="40"/>
        <v/>
      </c>
      <c r="BM51" s="425">
        <f t="shared" si="40"/>
        <v>13</v>
      </c>
      <c r="BN51" s="425" t="str">
        <f t="shared" si="40"/>
        <v/>
      </c>
      <c r="BO51" s="425" t="str">
        <f t="shared" si="40"/>
        <v/>
      </c>
      <c r="BP51" s="425" t="str">
        <f t="shared" si="40"/>
        <v/>
      </c>
      <c r="BQ51" s="425">
        <f t="shared" si="40"/>
        <v>12</v>
      </c>
      <c r="BR51" s="425" t="str">
        <f t="shared" si="39"/>
        <v/>
      </c>
      <c r="BS51" s="425" t="str">
        <f t="shared" si="39"/>
        <v/>
      </c>
      <c r="BT51" s="425" t="str">
        <f t="shared" si="39"/>
        <v/>
      </c>
      <c r="BU51" s="425">
        <f t="shared" si="39"/>
        <v>23</v>
      </c>
      <c r="BV51" s="425" t="str">
        <f t="shared" ref="BV51:CC51" si="41">IF( LEN( BV44 ) = 0, "", ABS( BV44 ) + ABS( BV45 ) )</f>
        <v/>
      </c>
      <c r="BW51" s="425" t="str">
        <f t="shared" si="41"/>
        <v/>
      </c>
      <c r="BX51" s="425" t="str">
        <f t="shared" si="41"/>
        <v/>
      </c>
      <c r="BY51" s="425">
        <f t="shared" si="41"/>
        <v>20</v>
      </c>
      <c r="BZ51" s="425" t="str">
        <f t="shared" si="41"/>
        <v/>
      </c>
      <c r="CA51" s="425" t="str">
        <f t="shared" si="41"/>
        <v/>
      </c>
      <c r="CB51" s="425" t="str">
        <f t="shared" si="41"/>
        <v/>
      </c>
      <c r="CC51" s="425">
        <f t="shared" si="41"/>
        <v>4</v>
      </c>
    </row>
    <row r="52" spans="1:81" s="427" customFormat="1" outlineLevel="1" x14ac:dyDescent="0.25">
      <c r="A52" s="426" t="s">
        <v>404</v>
      </c>
      <c r="E52" s="427">
        <f>IF( LEN( E46 ) = 0, "", ABS( E46 ) + ABS( E47 ) )</f>
        <v>101</v>
      </c>
      <c r="F52" s="427" t="str">
        <f t="shared" ref="F52:AS52" si="42">IF( LEN( F46 ) = 0, "", ABS( F46 ) + ABS( F47 ) )</f>
        <v/>
      </c>
      <c r="G52" s="427" t="str">
        <f t="shared" si="42"/>
        <v/>
      </c>
      <c r="H52" s="427" t="str">
        <f t="shared" si="42"/>
        <v/>
      </c>
      <c r="I52" s="427">
        <f t="shared" si="42"/>
        <v>125</v>
      </c>
      <c r="J52" s="427" t="str">
        <f t="shared" si="42"/>
        <v/>
      </c>
      <c r="K52" s="427" t="str">
        <f t="shared" si="42"/>
        <v/>
      </c>
      <c r="L52" s="427" t="str">
        <f t="shared" si="42"/>
        <v/>
      </c>
      <c r="M52" s="427">
        <f t="shared" si="42"/>
        <v>112</v>
      </c>
      <c r="N52" s="427" t="str">
        <f t="shared" si="42"/>
        <v/>
      </c>
      <c r="O52" s="427" t="str">
        <f t="shared" si="42"/>
        <v/>
      </c>
      <c r="P52" s="427" t="str">
        <f t="shared" si="42"/>
        <v/>
      </c>
      <c r="Q52" s="427">
        <f t="shared" si="42"/>
        <v>34</v>
      </c>
      <c r="R52" s="427" t="str">
        <f t="shared" si="42"/>
        <v/>
      </c>
      <c r="S52" s="427" t="str">
        <f t="shared" si="42"/>
        <v/>
      </c>
      <c r="T52" s="427" t="str">
        <f t="shared" si="42"/>
        <v/>
      </c>
      <c r="U52" s="427">
        <f t="shared" si="42"/>
        <v>53</v>
      </c>
      <c r="V52" s="427" t="str">
        <f t="shared" si="42"/>
        <v/>
      </c>
      <c r="W52" s="427" t="str">
        <f t="shared" si="42"/>
        <v/>
      </c>
      <c r="X52" s="427" t="str">
        <f t="shared" si="42"/>
        <v/>
      </c>
      <c r="Y52" s="427">
        <f t="shared" si="42"/>
        <v>40</v>
      </c>
      <c r="Z52" s="427" t="str">
        <f t="shared" si="42"/>
        <v/>
      </c>
      <c r="AA52" s="427" t="str">
        <f t="shared" si="42"/>
        <v/>
      </c>
      <c r="AB52" s="427" t="str">
        <f t="shared" si="42"/>
        <v/>
      </c>
      <c r="AC52" s="427">
        <f t="shared" si="42"/>
        <v>48</v>
      </c>
      <c r="AD52" s="427" t="str">
        <f t="shared" si="42"/>
        <v/>
      </c>
      <c r="AE52" s="427" t="str">
        <f t="shared" si="42"/>
        <v/>
      </c>
      <c r="AF52" s="427" t="str">
        <f t="shared" si="42"/>
        <v/>
      </c>
      <c r="AG52" s="427">
        <f t="shared" si="42"/>
        <v>27</v>
      </c>
      <c r="AH52" s="427" t="str">
        <f t="shared" si="42"/>
        <v/>
      </c>
      <c r="AI52" s="427" t="str">
        <f t="shared" si="42"/>
        <v/>
      </c>
      <c r="AJ52" s="427" t="str">
        <f t="shared" si="42"/>
        <v/>
      </c>
      <c r="AK52" s="427">
        <f t="shared" si="42"/>
        <v>20</v>
      </c>
      <c r="AL52" s="427" t="str">
        <f t="shared" si="42"/>
        <v/>
      </c>
      <c r="AM52" s="427" t="str">
        <f t="shared" si="42"/>
        <v/>
      </c>
      <c r="AN52" s="427" t="str">
        <f t="shared" si="42"/>
        <v/>
      </c>
      <c r="AO52" s="427">
        <f t="shared" si="42"/>
        <v>36</v>
      </c>
      <c r="AP52" s="427" t="str">
        <f t="shared" si="42"/>
        <v/>
      </c>
      <c r="AQ52" s="427" t="str">
        <f t="shared" si="42"/>
        <v/>
      </c>
      <c r="AR52" s="427" t="str">
        <f t="shared" si="42"/>
        <v/>
      </c>
      <c r="AS52" s="427">
        <f t="shared" si="42"/>
        <v>24</v>
      </c>
      <c r="AT52" s="427" t="str">
        <f t="shared" ref="AT52:BU52" si="43">IF( LEN( AT46 ) = 0, "", ABS( AT46 ) + ABS( AT47 ) )</f>
        <v/>
      </c>
      <c r="AU52" s="427" t="str">
        <f t="shared" si="43"/>
        <v/>
      </c>
      <c r="AV52" s="427" t="str">
        <f t="shared" si="43"/>
        <v/>
      </c>
      <c r="AW52" s="427">
        <f t="shared" si="43"/>
        <v>30</v>
      </c>
      <c r="AX52" s="427" t="str">
        <f t="shared" ref="AX52:BQ52" si="44">IF( LEN( AX46 ) = 0, "", ABS( AX46 ) + ABS( AX47 ) )</f>
        <v/>
      </c>
      <c r="AY52" s="427" t="str">
        <f t="shared" si="44"/>
        <v/>
      </c>
      <c r="AZ52" s="427" t="str">
        <f t="shared" si="44"/>
        <v/>
      </c>
      <c r="BA52" s="427">
        <f t="shared" si="44"/>
        <v>40</v>
      </c>
      <c r="BB52" s="427" t="str">
        <f t="shared" si="44"/>
        <v/>
      </c>
      <c r="BC52" s="427" t="str">
        <f t="shared" si="44"/>
        <v/>
      </c>
      <c r="BD52" s="427" t="str">
        <f t="shared" si="44"/>
        <v/>
      </c>
      <c r="BE52" s="427">
        <f t="shared" si="44"/>
        <v>7</v>
      </c>
      <c r="BF52" s="427" t="str">
        <f t="shared" si="44"/>
        <v/>
      </c>
      <c r="BG52" s="427" t="str">
        <f t="shared" si="44"/>
        <v/>
      </c>
      <c r="BH52" s="427" t="str">
        <f t="shared" si="44"/>
        <v/>
      </c>
      <c r="BI52" s="427">
        <f t="shared" si="44"/>
        <v>27</v>
      </c>
      <c r="BJ52" s="427" t="str">
        <f t="shared" si="44"/>
        <v/>
      </c>
      <c r="BK52" s="427" t="str">
        <f t="shared" si="44"/>
        <v/>
      </c>
      <c r="BL52" s="427" t="str">
        <f t="shared" si="44"/>
        <v/>
      </c>
      <c r="BM52" s="427">
        <f t="shared" si="44"/>
        <v>38</v>
      </c>
      <c r="BN52" s="427" t="str">
        <f t="shared" si="44"/>
        <v/>
      </c>
      <c r="BO52" s="427" t="str">
        <f t="shared" si="44"/>
        <v/>
      </c>
      <c r="BP52" s="427" t="str">
        <f t="shared" si="44"/>
        <v/>
      </c>
      <c r="BQ52" s="427">
        <f t="shared" si="44"/>
        <v>25</v>
      </c>
      <c r="BR52" s="427" t="str">
        <f t="shared" si="43"/>
        <v/>
      </c>
      <c r="BS52" s="427" t="str">
        <f t="shared" si="43"/>
        <v/>
      </c>
      <c r="BT52" s="427" t="str">
        <f t="shared" si="43"/>
        <v/>
      </c>
      <c r="BU52" s="427">
        <f t="shared" si="43"/>
        <v>37</v>
      </c>
      <c r="BV52" s="427" t="str">
        <f t="shared" ref="BV52:CC52" si="45">IF( LEN( BV46 ) = 0, "", ABS( BV46 ) + ABS( BV47 ) )</f>
        <v/>
      </c>
      <c r="BW52" s="427" t="str">
        <f t="shared" si="45"/>
        <v/>
      </c>
      <c r="BX52" s="427" t="str">
        <f t="shared" si="45"/>
        <v/>
      </c>
      <c r="BY52" s="427">
        <f t="shared" si="45"/>
        <v>34</v>
      </c>
      <c r="BZ52" s="427" t="str">
        <f t="shared" si="45"/>
        <v/>
      </c>
      <c r="CA52" s="427" t="str">
        <f t="shared" si="45"/>
        <v/>
      </c>
      <c r="CB52" s="427" t="str">
        <f t="shared" si="45"/>
        <v/>
      </c>
      <c r="CC52" s="427">
        <f t="shared" si="45"/>
        <v>0</v>
      </c>
    </row>
    <row r="53" spans="1:81" s="200" customFormat="1" outlineLevel="1" x14ac:dyDescent="0.25">
      <c r="A53" s="198" t="s">
        <v>416</v>
      </c>
      <c r="B53" s="199"/>
      <c r="C53" s="199"/>
      <c r="D53" s="199"/>
      <c r="E53" s="199">
        <f>IF( LEN( E51 ) = 0, "", ABS( E50 ) + ABS( E51 )  + ABS( E52 ) )</f>
        <v>207</v>
      </c>
      <c r="F53" s="199" t="str">
        <f t="shared" ref="F53:AW53" si="46">IF( LEN( F51 ) = 0, "", ABS( F50 ) + ABS( F51 )  + ABS( F52 ) )</f>
        <v/>
      </c>
      <c r="G53" s="199" t="str">
        <f t="shared" si="46"/>
        <v/>
      </c>
      <c r="H53" s="199" t="str">
        <f t="shared" si="46"/>
        <v/>
      </c>
      <c r="I53" s="199">
        <f t="shared" si="46"/>
        <v>300</v>
      </c>
      <c r="J53" s="199" t="str">
        <f t="shared" si="46"/>
        <v/>
      </c>
      <c r="K53" s="199" t="str">
        <f t="shared" si="46"/>
        <v/>
      </c>
      <c r="L53" s="199" t="str">
        <f t="shared" si="46"/>
        <v/>
      </c>
      <c r="M53" s="199">
        <f t="shared" si="46"/>
        <v>253</v>
      </c>
      <c r="N53" s="199" t="str">
        <f t="shared" si="46"/>
        <v/>
      </c>
      <c r="O53" s="199" t="str">
        <f t="shared" si="46"/>
        <v/>
      </c>
      <c r="P53" s="199" t="str">
        <f t="shared" si="46"/>
        <v/>
      </c>
      <c r="Q53" s="199">
        <f t="shared" si="46"/>
        <v>110</v>
      </c>
      <c r="R53" s="199" t="str">
        <f t="shared" si="46"/>
        <v/>
      </c>
      <c r="S53" s="199" t="str">
        <f t="shared" si="46"/>
        <v/>
      </c>
      <c r="T53" s="199" t="str">
        <f t="shared" si="46"/>
        <v/>
      </c>
      <c r="U53" s="199">
        <f t="shared" si="46"/>
        <v>121</v>
      </c>
      <c r="V53" s="199" t="str">
        <f t="shared" si="46"/>
        <v/>
      </c>
      <c r="W53" s="199" t="str">
        <f t="shared" si="46"/>
        <v/>
      </c>
      <c r="X53" s="199" t="str">
        <f t="shared" si="46"/>
        <v/>
      </c>
      <c r="Y53" s="199">
        <f t="shared" si="46"/>
        <v>110</v>
      </c>
      <c r="Z53" s="199" t="str">
        <f t="shared" si="46"/>
        <v/>
      </c>
      <c r="AA53" s="199" t="str">
        <f t="shared" si="46"/>
        <v/>
      </c>
      <c r="AB53" s="199" t="str">
        <f t="shared" si="46"/>
        <v/>
      </c>
      <c r="AC53" s="199">
        <f t="shared" si="46"/>
        <v>121</v>
      </c>
      <c r="AD53" s="199" t="str">
        <f t="shared" si="46"/>
        <v/>
      </c>
      <c r="AE53" s="199" t="str">
        <f t="shared" si="46"/>
        <v/>
      </c>
      <c r="AF53" s="199" t="str">
        <f t="shared" si="46"/>
        <v/>
      </c>
      <c r="AG53" s="199">
        <f t="shared" si="46"/>
        <v>50</v>
      </c>
      <c r="AH53" s="199" t="str">
        <f t="shared" si="46"/>
        <v/>
      </c>
      <c r="AI53" s="199" t="str">
        <f t="shared" si="46"/>
        <v/>
      </c>
      <c r="AJ53" s="199" t="str">
        <f t="shared" si="46"/>
        <v/>
      </c>
      <c r="AK53" s="199">
        <f t="shared" si="46"/>
        <v>57</v>
      </c>
      <c r="AL53" s="199" t="str">
        <f t="shared" si="46"/>
        <v/>
      </c>
      <c r="AM53" s="199" t="str">
        <f t="shared" si="46"/>
        <v/>
      </c>
      <c r="AN53" s="199" t="str">
        <f t="shared" si="46"/>
        <v/>
      </c>
      <c r="AO53" s="199">
        <f t="shared" si="46"/>
        <v>80</v>
      </c>
      <c r="AP53" s="199" t="str">
        <f t="shared" si="46"/>
        <v/>
      </c>
      <c r="AQ53" s="199" t="str">
        <f t="shared" si="46"/>
        <v/>
      </c>
      <c r="AR53" s="199" t="str">
        <f t="shared" si="46"/>
        <v/>
      </c>
      <c r="AS53" s="199">
        <f t="shared" si="46"/>
        <v>60</v>
      </c>
      <c r="AT53" s="199" t="str">
        <f t="shared" si="46"/>
        <v/>
      </c>
      <c r="AU53" s="199" t="str">
        <f t="shared" si="46"/>
        <v/>
      </c>
      <c r="AV53" s="199" t="str">
        <f t="shared" si="46"/>
        <v/>
      </c>
      <c r="AW53" s="199">
        <f t="shared" si="46"/>
        <v>76</v>
      </c>
      <c r="AX53" s="199" t="str">
        <f t="shared" ref="AX53:BU53" si="47">IF( LEN( AX51 ) = 0, "", ABS( AX50 ) + ABS( AX51 )  + ABS( AX52 ) )</f>
        <v/>
      </c>
      <c r="AY53" s="199" t="str">
        <f t="shared" si="47"/>
        <v/>
      </c>
      <c r="AZ53" s="199" t="str">
        <f t="shared" si="47"/>
        <v/>
      </c>
      <c r="BA53" s="199">
        <f t="shared" si="47"/>
        <v>80</v>
      </c>
      <c r="BB53" s="199" t="str">
        <f t="shared" ref="BB53:BQ53" si="48">IF( LEN( BB51 ) = 0, "", ABS( BB50 ) + ABS( BB51 )  + ABS( BB52 ) )</f>
        <v/>
      </c>
      <c r="BC53" s="199" t="str">
        <f t="shared" si="48"/>
        <v/>
      </c>
      <c r="BD53" s="199" t="str">
        <f t="shared" si="48"/>
        <v/>
      </c>
      <c r="BE53" s="199">
        <f t="shared" si="48"/>
        <v>106</v>
      </c>
      <c r="BF53" s="199" t="str">
        <f t="shared" si="48"/>
        <v/>
      </c>
      <c r="BG53" s="199" t="str">
        <f t="shared" si="48"/>
        <v/>
      </c>
      <c r="BH53" s="199" t="str">
        <f t="shared" si="48"/>
        <v/>
      </c>
      <c r="BI53" s="199">
        <f t="shared" si="48"/>
        <v>50</v>
      </c>
      <c r="BJ53" s="199" t="str">
        <f t="shared" si="48"/>
        <v/>
      </c>
      <c r="BK53" s="199" t="str">
        <f t="shared" si="48"/>
        <v/>
      </c>
      <c r="BL53" s="199" t="str">
        <f t="shared" si="48"/>
        <v/>
      </c>
      <c r="BM53" s="199">
        <f t="shared" si="48"/>
        <v>67</v>
      </c>
      <c r="BN53" s="199" t="str">
        <f t="shared" si="48"/>
        <v/>
      </c>
      <c r="BO53" s="199" t="str">
        <f t="shared" si="48"/>
        <v/>
      </c>
      <c r="BP53" s="199" t="str">
        <f t="shared" si="48"/>
        <v/>
      </c>
      <c r="BQ53" s="199">
        <f t="shared" si="48"/>
        <v>52</v>
      </c>
      <c r="BR53" s="199" t="str">
        <f t="shared" si="47"/>
        <v/>
      </c>
      <c r="BS53" s="199" t="str">
        <f t="shared" si="47"/>
        <v/>
      </c>
      <c r="BT53" s="199" t="str">
        <f t="shared" si="47"/>
        <v/>
      </c>
      <c r="BU53" s="199">
        <f t="shared" si="47"/>
        <v>93</v>
      </c>
      <c r="BV53" s="199" t="str">
        <f t="shared" ref="BV53:CC53" si="49">IF( LEN( BV51 ) = 0, "", ABS( BV50 ) + ABS( BV51 )  + ABS( BV52 ) )</f>
        <v/>
      </c>
      <c r="BW53" s="199" t="str">
        <f t="shared" si="49"/>
        <v/>
      </c>
      <c r="BX53" s="199" t="str">
        <f t="shared" si="49"/>
        <v/>
      </c>
      <c r="BY53" s="199">
        <f t="shared" si="49"/>
        <v>90</v>
      </c>
      <c r="BZ53" s="199" t="str">
        <f t="shared" si="49"/>
        <v/>
      </c>
      <c r="CA53" s="199" t="str">
        <f t="shared" si="49"/>
        <v/>
      </c>
      <c r="CB53" s="199" t="str">
        <f t="shared" si="49"/>
        <v/>
      </c>
      <c r="CC53" s="199">
        <f t="shared" si="49"/>
        <v>5</v>
      </c>
    </row>
    <row r="54" spans="1:81" s="174" customFormat="1" outlineLevel="1" x14ac:dyDescent="0.25">
      <c r="B54" s="176"/>
      <c r="C54" s="176"/>
      <c r="D54" s="176"/>
      <c r="E54" s="176"/>
      <c r="F54" s="177"/>
      <c r="G54" s="178"/>
      <c r="H54" s="178"/>
      <c r="I54" s="178"/>
      <c r="J54" s="178"/>
      <c r="K54" s="178"/>
      <c r="L54" s="179"/>
      <c r="M54" s="176"/>
      <c r="N54" s="176"/>
      <c r="O54" s="176"/>
      <c r="P54" s="176"/>
      <c r="Q54" s="176"/>
      <c r="R54" s="176"/>
      <c r="S54" s="176"/>
      <c r="T54" s="176"/>
      <c r="U54" s="176"/>
      <c r="V54" s="176"/>
      <c r="W54" s="176"/>
      <c r="X54" s="180"/>
      <c r="Y54" s="180"/>
      <c r="Z54" s="180"/>
      <c r="AA54" s="180"/>
      <c r="AB54" s="180"/>
      <c r="AC54" s="180"/>
    </row>
    <row r="55" spans="1:81" s="174" customFormat="1" outlineLevel="1" x14ac:dyDescent="0.25">
      <c r="B55" s="176"/>
      <c r="C55" s="176"/>
      <c r="D55" s="176"/>
      <c r="E55" s="176"/>
      <c r="F55" s="177"/>
      <c r="G55" s="178"/>
      <c r="H55" s="178"/>
      <c r="I55" s="178"/>
      <c r="J55" s="178"/>
      <c r="K55" s="178"/>
      <c r="L55" s="179"/>
      <c r="M55" s="176"/>
      <c r="N55" s="176"/>
      <c r="O55" s="176"/>
      <c r="P55" s="176"/>
      <c r="Q55" s="176"/>
      <c r="R55" s="176"/>
      <c r="S55" s="176"/>
      <c r="T55" s="176"/>
      <c r="U55" s="176"/>
      <c r="V55" s="176"/>
      <c r="W55" s="176"/>
      <c r="X55" s="180"/>
      <c r="Y55" s="180"/>
      <c r="Z55" s="180"/>
      <c r="AA55" s="180"/>
      <c r="AB55" s="180"/>
      <c r="AC55" s="180"/>
    </row>
    <row r="56" spans="1:81" s="423" customFormat="1" outlineLevel="1" x14ac:dyDescent="0.25">
      <c r="A56" s="422" t="s">
        <v>391</v>
      </c>
      <c r="B56" s="423">
        <f t="shared" ref="B56:BM56" si="50">SUM(B29,B31,B33)</f>
        <v>23</v>
      </c>
      <c r="C56" s="423">
        <f t="shared" si="50"/>
        <v>14</v>
      </c>
      <c r="D56" s="423">
        <f t="shared" si="50"/>
        <v>6</v>
      </c>
      <c r="E56" s="423">
        <f t="shared" si="50"/>
        <v>14</v>
      </c>
      <c r="F56" s="423">
        <f t="shared" si="50"/>
        <v>6</v>
      </c>
      <c r="G56" s="423">
        <f t="shared" si="50"/>
        <v>2</v>
      </c>
      <c r="H56" s="423">
        <f t="shared" si="50"/>
        <v>12</v>
      </c>
      <c r="I56" s="423">
        <f t="shared" si="50"/>
        <v>1</v>
      </c>
      <c r="J56" s="423">
        <f t="shared" si="50"/>
        <v>4</v>
      </c>
      <c r="K56" s="423">
        <f t="shared" si="50"/>
        <v>15</v>
      </c>
      <c r="L56" s="423">
        <f t="shared" si="50"/>
        <v>6</v>
      </c>
      <c r="M56" s="423">
        <f t="shared" si="50"/>
        <v>10</v>
      </c>
      <c r="N56" s="423">
        <f t="shared" si="50"/>
        <v>8</v>
      </c>
      <c r="O56" s="423">
        <f t="shared" si="50"/>
        <v>8</v>
      </c>
      <c r="P56" s="423">
        <f t="shared" si="50"/>
        <v>21</v>
      </c>
      <c r="Q56" s="423">
        <f t="shared" si="50"/>
        <v>14</v>
      </c>
      <c r="R56" s="423">
        <f t="shared" si="50"/>
        <v>23</v>
      </c>
      <c r="S56" s="423">
        <f t="shared" si="50"/>
        <v>20</v>
      </c>
      <c r="T56" s="423">
        <f t="shared" si="50"/>
        <v>20</v>
      </c>
      <c r="U56" s="423">
        <f t="shared" si="50"/>
        <v>10</v>
      </c>
      <c r="V56" s="423">
        <f t="shared" si="50"/>
        <v>18</v>
      </c>
      <c r="W56" s="423">
        <f t="shared" si="50"/>
        <v>24</v>
      </c>
      <c r="X56" s="423">
        <f t="shared" si="50"/>
        <v>19</v>
      </c>
      <c r="Y56" s="423">
        <f t="shared" si="50"/>
        <v>6</v>
      </c>
      <c r="Z56" s="423">
        <f t="shared" si="50"/>
        <v>22</v>
      </c>
      <c r="AA56" s="423">
        <f t="shared" si="50"/>
        <v>23</v>
      </c>
      <c r="AB56" s="423">
        <f t="shared" si="50"/>
        <v>8</v>
      </c>
      <c r="AC56" s="423">
        <f t="shared" si="50"/>
        <v>20</v>
      </c>
      <c r="AD56" s="423">
        <f t="shared" si="50"/>
        <v>5</v>
      </c>
      <c r="AE56" s="423">
        <f t="shared" si="50"/>
        <v>4</v>
      </c>
      <c r="AF56" s="423">
        <f t="shared" si="50"/>
        <v>9</v>
      </c>
      <c r="AG56" s="423">
        <f t="shared" si="50"/>
        <v>6</v>
      </c>
      <c r="AH56" s="423">
        <f t="shared" si="50"/>
        <v>1</v>
      </c>
      <c r="AI56" s="423">
        <f t="shared" si="50"/>
        <v>10</v>
      </c>
      <c r="AJ56" s="423">
        <f t="shared" si="50"/>
        <v>7</v>
      </c>
      <c r="AK56" s="423">
        <f t="shared" si="50"/>
        <v>5</v>
      </c>
      <c r="AL56" s="423">
        <f t="shared" si="50"/>
        <v>1</v>
      </c>
      <c r="AM56" s="423">
        <f t="shared" si="50"/>
        <v>12</v>
      </c>
      <c r="AN56" s="423">
        <f t="shared" si="50"/>
        <v>11</v>
      </c>
      <c r="AO56" s="423">
        <f t="shared" si="50"/>
        <v>5</v>
      </c>
      <c r="AP56" s="423">
        <f t="shared" si="50"/>
        <v>11</v>
      </c>
      <c r="AQ56" s="423">
        <f t="shared" si="50"/>
        <v>21</v>
      </c>
      <c r="AR56" s="423">
        <f t="shared" si="50"/>
        <v>4</v>
      </c>
      <c r="AS56" s="423">
        <f t="shared" si="50"/>
        <v>3</v>
      </c>
      <c r="AT56" s="423">
        <f t="shared" si="50"/>
        <v>8</v>
      </c>
      <c r="AU56" s="423">
        <f t="shared" si="50"/>
        <v>24</v>
      </c>
      <c r="AV56" s="423">
        <f t="shared" si="50"/>
        <v>2</v>
      </c>
      <c r="AW56" s="423">
        <f t="shared" si="50"/>
        <v>3</v>
      </c>
      <c r="AX56" s="423">
        <f t="shared" si="50"/>
        <v>14</v>
      </c>
      <c r="AY56" s="423">
        <f t="shared" si="50"/>
        <v>20</v>
      </c>
      <c r="AZ56" s="423">
        <f t="shared" si="50"/>
        <v>14</v>
      </c>
      <c r="BA56" s="423">
        <f t="shared" si="50"/>
        <v>12</v>
      </c>
      <c r="BB56" s="423">
        <f t="shared" si="50"/>
        <v>82</v>
      </c>
      <c r="BC56" s="423">
        <f t="shared" si="50"/>
        <v>10</v>
      </c>
      <c r="BD56" s="423">
        <f t="shared" si="50"/>
        <v>6</v>
      </c>
      <c r="BE56" s="423">
        <f t="shared" si="50"/>
        <v>5</v>
      </c>
      <c r="BF56" s="423">
        <f t="shared" si="50"/>
        <v>2</v>
      </c>
      <c r="BG56" s="423">
        <f t="shared" si="50"/>
        <v>26</v>
      </c>
      <c r="BH56" s="423">
        <f t="shared" si="50"/>
        <v>1</v>
      </c>
      <c r="BI56" s="423">
        <f t="shared" si="50"/>
        <v>6</v>
      </c>
      <c r="BJ56" s="423">
        <f t="shared" si="50"/>
        <v>13</v>
      </c>
      <c r="BK56" s="423">
        <f t="shared" si="50"/>
        <v>12</v>
      </c>
      <c r="BL56" s="423">
        <f t="shared" si="50"/>
        <v>23</v>
      </c>
      <c r="BM56" s="423">
        <f t="shared" si="50"/>
        <v>1</v>
      </c>
      <c r="BN56" s="423">
        <f t="shared" ref="BN56:BQ56" si="51">SUM(BN29,BN31,BN33)</f>
        <v>13</v>
      </c>
      <c r="BO56" s="423">
        <f t="shared" si="51"/>
        <v>7</v>
      </c>
      <c r="BP56" s="423">
        <f t="shared" si="51"/>
        <v>8</v>
      </c>
      <c r="BQ56" s="423">
        <f t="shared" si="51"/>
        <v>10</v>
      </c>
      <c r="BR56" s="423">
        <f t="shared" ref="BR56:BU57" si="52">SUM(BR29,BR31,BR33)</f>
        <v>6</v>
      </c>
      <c r="BS56" s="423">
        <f t="shared" si="52"/>
        <v>6</v>
      </c>
      <c r="BT56" s="423">
        <f t="shared" si="52"/>
        <v>17</v>
      </c>
      <c r="BU56" s="423">
        <f t="shared" si="52"/>
        <v>12</v>
      </c>
      <c r="BV56" s="423">
        <f t="shared" ref="BV56:CC56" si="53">SUM(BV29,BV31,BV33)</f>
        <v>14</v>
      </c>
      <c r="BW56" s="423">
        <f t="shared" si="53"/>
        <v>10</v>
      </c>
      <c r="BX56" s="423">
        <f t="shared" si="53"/>
        <v>12</v>
      </c>
      <c r="BY56" s="423">
        <f t="shared" si="53"/>
        <v>19</v>
      </c>
      <c r="BZ56" s="423">
        <f t="shared" si="53"/>
        <v>1</v>
      </c>
      <c r="CA56" s="423">
        <f t="shared" si="53"/>
        <v>0</v>
      </c>
      <c r="CB56" s="423">
        <f t="shared" si="53"/>
        <v>0</v>
      </c>
      <c r="CC56" s="423">
        <f t="shared" si="53"/>
        <v>0</v>
      </c>
    </row>
    <row r="57" spans="1:81" s="427" customFormat="1" outlineLevel="1" x14ac:dyDescent="0.25">
      <c r="A57" s="426" t="s">
        <v>392</v>
      </c>
      <c r="B57" s="427">
        <f t="shared" ref="B57:BM57" si="54">SUM(B30,B32,B34)</f>
        <v>-59</v>
      </c>
      <c r="C57" s="427">
        <f t="shared" si="54"/>
        <v>-21</v>
      </c>
      <c r="D57" s="427">
        <f t="shared" si="54"/>
        <v>-13</v>
      </c>
      <c r="E57" s="427">
        <f t="shared" si="54"/>
        <v>-57</v>
      </c>
      <c r="F57" s="427">
        <f t="shared" si="54"/>
        <v>-34</v>
      </c>
      <c r="G57" s="427">
        <f t="shared" si="54"/>
        <v>-67</v>
      </c>
      <c r="H57" s="427">
        <f t="shared" si="54"/>
        <v>-91</v>
      </c>
      <c r="I57" s="427">
        <f t="shared" si="54"/>
        <v>-87</v>
      </c>
      <c r="J57" s="427">
        <f t="shared" si="54"/>
        <v>-88</v>
      </c>
      <c r="K57" s="427">
        <f t="shared" si="54"/>
        <v>-55</v>
      </c>
      <c r="L57" s="427">
        <f t="shared" si="54"/>
        <v>-38</v>
      </c>
      <c r="M57" s="427">
        <f t="shared" si="54"/>
        <v>-37</v>
      </c>
      <c r="N57" s="427">
        <f t="shared" si="54"/>
        <v>-19</v>
      </c>
      <c r="O57" s="427">
        <f t="shared" si="54"/>
        <v>-19</v>
      </c>
      <c r="P57" s="427">
        <f t="shared" si="54"/>
        <v>-10</v>
      </c>
      <c r="Q57" s="427">
        <f t="shared" si="54"/>
        <v>-11</v>
      </c>
      <c r="R57" s="427">
        <f t="shared" si="54"/>
        <v>-9</v>
      </c>
      <c r="S57" s="427">
        <f t="shared" si="54"/>
        <v>-10</v>
      </c>
      <c r="T57" s="427">
        <f t="shared" si="54"/>
        <v>-7</v>
      </c>
      <c r="U57" s="427">
        <f t="shared" si="54"/>
        <v>-22</v>
      </c>
      <c r="V57" s="427">
        <f t="shared" si="54"/>
        <v>-7</v>
      </c>
      <c r="W57" s="427">
        <f t="shared" si="54"/>
        <v>-10</v>
      </c>
      <c r="X57" s="427">
        <f t="shared" si="54"/>
        <v>-18</v>
      </c>
      <c r="Y57" s="427">
        <f t="shared" si="54"/>
        <v>-8</v>
      </c>
      <c r="Z57" s="427">
        <f t="shared" si="54"/>
        <v>-17</v>
      </c>
      <c r="AA57" s="427">
        <f t="shared" si="54"/>
        <v>-18</v>
      </c>
      <c r="AB57" s="427">
        <f t="shared" si="54"/>
        <v>-2</v>
      </c>
      <c r="AC57" s="427">
        <f t="shared" si="54"/>
        <v>-11</v>
      </c>
      <c r="AD57" s="427">
        <f t="shared" si="54"/>
        <v>-13</v>
      </c>
      <c r="AE57" s="427">
        <f t="shared" si="54"/>
        <v>-5</v>
      </c>
      <c r="AF57" s="427">
        <f t="shared" si="54"/>
        <v>-5</v>
      </c>
      <c r="AG57" s="427">
        <f t="shared" si="54"/>
        <v>-3</v>
      </c>
      <c r="AH57" s="427">
        <f t="shared" si="54"/>
        <v>-9</v>
      </c>
      <c r="AI57" s="427">
        <f t="shared" si="54"/>
        <v>-14</v>
      </c>
      <c r="AJ57" s="427">
        <f t="shared" si="54"/>
        <v>-8</v>
      </c>
      <c r="AK57" s="427">
        <f t="shared" si="54"/>
        <v>-3</v>
      </c>
      <c r="AL57" s="427">
        <f t="shared" si="54"/>
        <v>-17</v>
      </c>
      <c r="AM57" s="427">
        <f t="shared" si="54"/>
        <v>-14</v>
      </c>
      <c r="AN57" s="427">
        <f t="shared" si="54"/>
        <v>-8</v>
      </c>
      <c r="AO57" s="427">
        <f t="shared" si="54"/>
        <v>-12</v>
      </c>
      <c r="AP57" s="427">
        <f t="shared" si="54"/>
        <v>0</v>
      </c>
      <c r="AQ57" s="427">
        <f t="shared" si="54"/>
        <v>-8</v>
      </c>
      <c r="AR57" s="427">
        <f t="shared" si="54"/>
        <v>-4</v>
      </c>
      <c r="AS57" s="427">
        <f t="shared" si="54"/>
        <v>-9</v>
      </c>
      <c r="AT57" s="427">
        <f t="shared" si="54"/>
        <v>-8</v>
      </c>
      <c r="AU57" s="427">
        <f t="shared" si="54"/>
        <v>-11</v>
      </c>
      <c r="AV57" s="427">
        <f t="shared" si="54"/>
        <v>-7</v>
      </c>
      <c r="AW57" s="427">
        <f t="shared" si="54"/>
        <v>-13</v>
      </c>
      <c r="AX57" s="427">
        <f t="shared" si="54"/>
        <v>-5</v>
      </c>
      <c r="AY57" s="427">
        <f t="shared" si="54"/>
        <v>-1</v>
      </c>
      <c r="AZ57" s="427">
        <f t="shared" si="54"/>
        <v>-10</v>
      </c>
      <c r="BA57" s="427">
        <f t="shared" si="54"/>
        <v>-4</v>
      </c>
      <c r="BB57" s="427">
        <f t="shared" si="54"/>
        <v>0</v>
      </c>
      <c r="BC57" s="427">
        <f t="shared" si="54"/>
        <v>-3</v>
      </c>
      <c r="BD57" s="427">
        <f t="shared" si="54"/>
        <v>0</v>
      </c>
      <c r="BE57" s="427">
        <f t="shared" si="54"/>
        <v>0</v>
      </c>
      <c r="BF57" s="427">
        <f t="shared" si="54"/>
        <v>0</v>
      </c>
      <c r="BG57" s="427">
        <f t="shared" si="54"/>
        <v>-7</v>
      </c>
      <c r="BH57" s="427">
        <f t="shared" si="54"/>
        <v>-6</v>
      </c>
      <c r="BI57" s="427">
        <f t="shared" si="54"/>
        <v>-2</v>
      </c>
      <c r="BJ57" s="427">
        <f t="shared" si="54"/>
        <v>-5</v>
      </c>
      <c r="BK57" s="427">
        <f t="shared" si="54"/>
        <v>-3</v>
      </c>
      <c r="BL57" s="427">
        <f t="shared" si="54"/>
        <v>-8</v>
      </c>
      <c r="BM57" s="427">
        <f t="shared" si="54"/>
        <v>-2</v>
      </c>
      <c r="BN57" s="427">
        <f t="shared" ref="BN57:BQ57" si="55">SUM(BN30,BN32,BN34)</f>
        <v>-4</v>
      </c>
      <c r="BO57" s="427">
        <f t="shared" si="55"/>
        <v>-1</v>
      </c>
      <c r="BP57" s="427">
        <f t="shared" si="55"/>
        <v>-9</v>
      </c>
      <c r="BQ57" s="427">
        <f t="shared" si="55"/>
        <v>0</v>
      </c>
      <c r="BR57" s="427">
        <f t="shared" si="52"/>
        <v>-11</v>
      </c>
      <c r="BS57" s="427">
        <f t="shared" si="52"/>
        <v>-7</v>
      </c>
      <c r="BT57" s="427">
        <f t="shared" si="52"/>
        <v>-23</v>
      </c>
      <c r="BU57" s="427">
        <f t="shared" si="52"/>
        <v>-11</v>
      </c>
      <c r="BV57" s="427">
        <f t="shared" ref="BV57:CC57" si="56">SUM(BV30,BV32,BV34)</f>
        <v>-21</v>
      </c>
      <c r="BW57" s="427">
        <f t="shared" si="56"/>
        <v>-2</v>
      </c>
      <c r="BX57" s="427">
        <f t="shared" si="56"/>
        <v>-5</v>
      </c>
      <c r="BY57" s="427">
        <f t="shared" si="56"/>
        <v>-7</v>
      </c>
      <c r="BZ57" s="427">
        <f t="shared" si="56"/>
        <v>-4</v>
      </c>
      <c r="CA57" s="427">
        <f t="shared" si="56"/>
        <v>0</v>
      </c>
      <c r="CB57" s="427">
        <f t="shared" si="56"/>
        <v>0</v>
      </c>
      <c r="CC57" s="427">
        <f t="shared" si="56"/>
        <v>0</v>
      </c>
    </row>
    <row r="58" spans="1:81" s="200" customFormat="1" outlineLevel="1" x14ac:dyDescent="0.25">
      <c r="A58" s="198" t="s">
        <v>395</v>
      </c>
      <c r="B58" s="199">
        <f>ABS( B56 ) + ABS( B57 )</f>
        <v>82</v>
      </c>
      <c r="C58" s="199">
        <f>ABS( C56 ) + ABS( C57 )</f>
        <v>35</v>
      </c>
      <c r="D58" s="199">
        <f>ABS( D56 ) + ABS( D57 )</f>
        <v>19</v>
      </c>
      <c r="E58" s="199">
        <f t="shared" ref="E58:AS58" si="57">ABS( E56 ) + ABS( E57 )</f>
        <v>71</v>
      </c>
      <c r="F58" s="199">
        <f t="shared" si="57"/>
        <v>40</v>
      </c>
      <c r="G58" s="199">
        <f t="shared" si="57"/>
        <v>69</v>
      </c>
      <c r="H58" s="199">
        <f t="shared" si="57"/>
        <v>103</v>
      </c>
      <c r="I58" s="199">
        <f t="shared" si="57"/>
        <v>88</v>
      </c>
      <c r="J58" s="199">
        <f t="shared" si="57"/>
        <v>92</v>
      </c>
      <c r="K58" s="199">
        <f t="shared" si="57"/>
        <v>70</v>
      </c>
      <c r="L58" s="199">
        <f t="shared" si="57"/>
        <v>44</v>
      </c>
      <c r="M58" s="199">
        <f t="shared" si="57"/>
        <v>47</v>
      </c>
      <c r="N58" s="199">
        <f t="shared" si="57"/>
        <v>27</v>
      </c>
      <c r="O58" s="199">
        <f t="shared" si="57"/>
        <v>27</v>
      </c>
      <c r="P58" s="199">
        <f t="shared" si="57"/>
        <v>31</v>
      </c>
      <c r="Q58" s="199">
        <f t="shared" si="57"/>
        <v>25</v>
      </c>
      <c r="R58" s="199">
        <f t="shared" si="57"/>
        <v>32</v>
      </c>
      <c r="S58" s="199">
        <f t="shared" si="57"/>
        <v>30</v>
      </c>
      <c r="T58" s="199">
        <f t="shared" si="57"/>
        <v>27</v>
      </c>
      <c r="U58" s="199">
        <f t="shared" si="57"/>
        <v>32</v>
      </c>
      <c r="V58" s="199">
        <f t="shared" si="57"/>
        <v>25</v>
      </c>
      <c r="W58" s="199">
        <f t="shared" si="57"/>
        <v>34</v>
      </c>
      <c r="X58" s="199">
        <f t="shared" si="57"/>
        <v>37</v>
      </c>
      <c r="Y58" s="199">
        <f t="shared" si="57"/>
        <v>14</v>
      </c>
      <c r="Z58" s="199">
        <f t="shared" si="57"/>
        <v>39</v>
      </c>
      <c r="AA58" s="199">
        <f t="shared" si="57"/>
        <v>41</v>
      </c>
      <c r="AB58" s="199">
        <f t="shared" si="57"/>
        <v>10</v>
      </c>
      <c r="AC58" s="199">
        <f t="shared" si="57"/>
        <v>31</v>
      </c>
      <c r="AD58" s="199">
        <f t="shared" si="57"/>
        <v>18</v>
      </c>
      <c r="AE58" s="199">
        <f t="shared" si="57"/>
        <v>9</v>
      </c>
      <c r="AF58" s="199">
        <f t="shared" si="57"/>
        <v>14</v>
      </c>
      <c r="AG58" s="199">
        <f t="shared" si="57"/>
        <v>9</v>
      </c>
      <c r="AH58" s="199">
        <f t="shared" si="57"/>
        <v>10</v>
      </c>
      <c r="AI58" s="199">
        <f t="shared" si="57"/>
        <v>24</v>
      </c>
      <c r="AJ58" s="199">
        <f t="shared" si="57"/>
        <v>15</v>
      </c>
      <c r="AK58" s="199">
        <f t="shared" si="57"/>
        <v>8</v>
      </c>
      <c r="AL58" s="199">
        <f t="shared" si="57"/>
        <v>18</v>
      </c>
      <c r="AM58" s="199">
        <f t="shared" si="57"/>
        <v>26</v>
      </c>
      <c r="AN58" s="199">
        <f t="shared" si="57"/>
        <v>19</v>
      </c>
      <c r="AO58" s="199">
        <f t="shared" si="57"/>
        <v>17</v>
      </c>
      <c r="AP58" s="199">
        <f t="shared" si="57"/>
        <v>11</v>
      </c>
      <c r="AQ58" s="199">
        <f t="shared" si="57"/>
        <v>29</v>
      </c>
      <c r="AR58" s="199">
        <f t="shared" si="57"/>
        <v>8</v>
      </c>
      <c r="AS58" s="199">
        <f t="shared" si="57"/>
        <v>12</v>
      </c>
      <c r="AT58" s="199">
        <f t="shared" ref="AT58:BU58" si="58">ABS( AT56 ) + ABS( AT57 )</f>
        <v>16</v>
      </c>
      <c r="AU58" s="199">
        <f t="shared" si="58"/>
        <v>35</v>
      </c>
      <c r="AV58" s="199">
        <f t="shared" si="58"/>
        <v>9</v>
      </c>
      <c r="AW58" s="199">
        <f t="shared" si="58"/>
        <v>16</v>
      </c>
      <c r="AX58" s="199">
        <f t="shared" ref="AX58:BQ58" si="59">ABS( AX56 ) + ABS( AX57 )</f>
        <v>19</v>
      </c>
      <c r="AY58" s="199">
        <f t="shared" si="59"/>
        <v>21</v>
      </c>
      <c r="AZ58" s="199">
        <f t="shared" si="59"/>
        <v>24</v>
      </c>
      <c r="BA58" s="199">
        <f t="shared" si="59"/>
        <v>16</v>
      </c>
      <c r="BB58" s="199">
        <f t="shared" si="59"/>
        <v>82</v>
      </c>
      <c r="BC58" s="199">
        <f t="shared" si="59"/>
        <v>13</v>
      </c>
      <c r="BD58" s="199">
        <f t="shared" si="59"/>
        <v>6</v>
      </c>
      <c r="BE58" s="199">
        <f t="shared" si="59"/>
        <v>5</v>
      </c>
      <c r="BF58" s="199">
        <f t="shared" si="59"/>
        <v>2</v>
      </c>
      <c r="BG58" s="199">
        <f t="shared" si="59"/>
        <v>33</v>
      </c>
      <c r="BH58" s="199">
        <f t="shared" si="59"/>
        <v>7</v>
      </c>
      <c r="BI58" s="199">
        <f t="shared" si="59"/>
        <v>8</v>
      </c>
      <c r="BJ58" s="199">
        <f t="shared" si="59"/>
        <v>18</v>
      </c>
      <c r="BK58" s="199">
        <f t="shared" si="59"/>
        <v>15</v>
      </c>
      <c r="BL58" s="199">
        <f t="shared" si="59"/>
        <v>31</v>
      </c>
      <c r="BM58" s="199">
        <f t="shared" si="59"/>
        <v>3</v>
      </c>
      <c r="BN58" s="199">
        <f t="shared" si="59"/>
        <v>17</v>
      </c>
      <c r="BO58" s="199">
        <f t="shared" si="59"/>
        <v>8</v>
      </c>
      <c r="BP58" s="199">
        <f t="shared" si="59"/>
        <v>17</v>
      </c>
      <c r="BQ58" s="199">
        <f t="shared" si="59"/>
        <v>10</v>
      </c>
      <c r="BR58" s="199">
        <f t="shared" si="58"/>
        <v>17</v>
      </c>
      <c r="BS58" s="199">
        <f t="shared" si="58"/>
        <v>13</v>
      </c>
      <c r="BT58" s="199">
        <f t="shared" si="58"/>
        <v>40</v>
      </c>
      <c r="BU58" s="199">
        <f t="shared" si="58"/>
        <v>23</v>
      </c>
      <c r="BV58" s="199">
        <f t="shared" ref="BV58:CC58" si="60">ABS( BV56 ) + ABS( BV57 )</f>
        <v>35</v>
      </c>
      <c r="BW58" s="199">
        <f t="shared" si="60"/>
        <v>12</v>
      </c>
      <c r="BX58" s="199">
        <f t="shared" si="60"/>
        <v>17</v>
      </c>
      <c r="BY58" s="199">
        <f t="shared" si="60"/>
        <v>26</v>
      </c>
      <c r="BZ58" s="199">
        <f t="shared" si="60"/>
        <v>5</v>
      </c>
      <c r="CA58" s="199">
        <f t="shared" si="60"/>
        <v>0</v>
      </c>
      <c r="CB58" s="199">
        <f t="shared" si="60"/>
        <v>0</v>
      </c>
      <c r="CC58" s="199">
        <f t="shared" si="60"/>
        <v>0</v>
      </c>
    </row>
    <row r="59" spans="1:81" s="174" customFormat="1" outlineLevel="1" x14ac:dyDescent="0.25">
      <c r="B59" s="181"/>
      <c r="C59" s="181"/>
      <c r="D59" s="181"/>
      <c r="E59" s="181"/>
      <c r="F59" s="181"/>
      <c r="G59" s="181"/>
      <c r="H59" s="181"/>
      <c r="I59" s="182"/>
      <c r="J59" s="176"/>
      <c r="K59" s="176"/>
      <c r="L59" s="176"/>
      <c r="M59" s="176"/>
      <c r="N59" s="176"/>
      <c r="O59" s="176"/>
      <c r="P59" s="176"/>
      <c r="Q59" s="176"/>
      <c r="R59" s="176"/>
      <c r="S59" s="176"/>
      <c r="T59" s="176"/>
      <c r="U59" s="176"/>
      <c r="V59" s="176"/>
      <c r="W59" s="176"/>
      <c r="X59" s="180"/>
      <c r="Y59" s="180"/>
      <c r="Z59" s="180"/>
      <c r="AA59" s="180"/>
      <c r="AB59" s="180"/>
      <c r="AC59" s="180"/>
    </row>
    <row r="60" spans="1:81" s="174" customFormat="1" outlineLevel="1" x14ac:dyDescent="0.25">
      <c r="B60" s="181"/>
      <c r="C60" s="181"/>
      <c r="D60" s="181"/>
      <c r="E60" s="181"/>
      <c r="F60" s="181"/>
      <c r="G60" s="181"/>
      <c r="H60" s="181"/>
      <c r="I60" s="182"/>
      <c r="J60" s="176"/>
      <c r="K60" s="176"/>
      <c r="L60" s="176"/>
      <c r="M60" s="176"/>
      <c r="N60" s="176"/>
      <c r="O60" s="176"/>
      <c r="P60" s="176"/>
      <c r="Q60" s="176"/>
      <c r="R60" s="176"/>
      <c r="S60" s="176"/>
      <c r="T60" s="176"/>
      <c r="U60" s="176"/>
      <c r="V60" s="176"/>
      <c r="W60" s="176"/>
      <c r="X60" s="180"/>
      <c r="Y60" s="180"/>
      <c r="Z60" s="180"/>
      <c r="AA60" s="180"/>
      <c r="AB60" s="180"/>
      <c r="AC60" s="180"/>
    </row>
    <row r="61" spans="1:81" s="423" customFormat="1" outlineLevel="1" x14ac:dyDescent="0.25">
      <c r="A61" s="422" t="s">
        <v>393</v>
      </c>
      <c r="E61" s="423">
        <f t="shared" ref="E61:N62" si="61">IF( ISERR( FIND( "Q4", E$28 ) ), "", SUM( B56:E56 ) )</f>
        <v>57</v>
      </c>
      <c r="F61" s="423" t="str">
        <f t="shared" si="61"/>
        <v/>
      </c>
      <c r="G61" s="423" t="str">
        <f t="shared" si="61"/>
        <v/>
      </c>
      <c r="H61" s="423" t="str">
        <f t="shared" si="61"/>
        <v/>
      </c>
      <c r="I61" s="423">
        <f t="shared" si="61"/>
        <v>21</v>
      </c>
      <c r="J61" s="423" t="str">
        <f t="shared" si="61"/>
        <v/>
      </c>
      <c r="K61" s="423" t="str">
        <f t="shared" si="61"/>
        <v/>
      </c>
      <c r="L61" s="423" t="str">
        <f t="shared" si="61"/>
        <v/>
      </c>
      <c r="M61" s="423">
        <f t="shared" si="61"/>
        <v>35</v>
      </c>
      <c r="N61" s="423" t="str">
        <f t="shared" si="61"/>
        <v/>
      </c>
      <c r="O61" s="423" t="str">
        <f t="shared" ref="O61:X62" si="62">IF( ISERR( FIND( "Q4", O$28 ) ), "", SUM( L56:O56 ) )</f>
        <v/>
      </c>
      <c r="P61" s="423" t="str">
        <f t="shared" si="62"/>
        <v/>
      </c>
      <c r="Q61" s="423">
        <f t="shared" si="62"/>
        <v>51</v>
      </c>
      <c r="R61" s="423" t="str">
        <f t="shared" si="62"/>
        <v/>
      </c>
      <c r="S61" s="423" t="str">
        <f t="shared" si="62"/>
        <v/>
      </c>
      <c r="T61" s="423" t="str">
        <f t="shared" si="62"/>
        <v/>
      </c>
      <c r="U61" s="423">
        <f t="shared" si="62"/>
        <v>73</v>
      </c>
      <c r="V61" s="423" t="str">
        <f t="shared" si="62"/>
        <v/>
      </c>
      <c r="W61" s="423" t="str">
        <f t="shared" si="62"/>
        <v/>
      </c>
      <c r="X61" s="423" t="str">
        <f t="shared" si="62"/>
        <v/>
      </c>
      <c r="Y61" s="423">
        <f t="shared" ref="Y61:AH62" si="63">IF( ISERR( FIND( "Q4", Y$28 ) ), "", SUM( V56:Y56 ) )</f>
        <v>67</v>
      </c>
      <c r="Z61" s="423" t="str">
        <f t="shared" si="63"/>
        <v/>
      </c>
      <c r="AA61" s="423" t="str">
        <f t="shared" si="63"/>
        <v/>
      </c>
      <c r="AB61" s="423" t="str">
        <f t="shared" si="63"/>
        <v/>
      </c>
      <c r="AC61" s="423">
        <f t="shared" si="63"/>
        <v>73</v>
      </c>
      <c r="AD61" s="423" t="str">
        <f t="shared" si="63"/>
        <v/>
      </c>
      <c r="AE61" s="423" t="str">
        <f t="shared" si="63"/>
        <v/>
      </c>
      <c r="AF61" s="423" t="str">
        <f t="shared" si="63"/>
        <v/>
      </c>
      <c r="AG61" s="423">
        <f t="shared" si="63"/>
        <v>24</v>
      </c>
      <c r="AH61" s="423" t="str">
        <f t="shared" si="63"/>
        <v/>
      </c>
      <c r="AI61" s="423" t="str">
        <f t="shared" ref="AI61:AR62" si="64">IF( ISERR( FIND( "Q4", AI$28 ) ), "", SUM( AF56:AI56 ) )</f>
        <v/>
      </c>
      <c r="AJ61" s="423" t="str">
        <f t="shared" si="64"/>
        <v/>
      </c>
      <c r="AK61" s="423">
        <f t="shared" si="64"/>
        <v>23</v>
      </c>
      <c r="AL61" s="423" t="str">
        <f t="shared" si="64"/>
        <v/>
      </c>
      <c r="AM61" s="423" t="str">
        <f t="shared" si="64"/>
        <v/>
      </c>
      <c r="AN61" s="423" t="str">
        <f t="shared" si="64"/>
        <v/>
      </c>
      <c r="AO61" s="423">
        <f t="shared" si="64"/>
        <v>29</v>
      </c>
      <c r="AP61" s="423" t="str">
        <f t="shared" si="64"/>
        <v/>
      </c>
      <c r="AQ61" s="423" t="str">
        <f t="shared" si="64"/>
        <v/>
      </c>
      <c r="AR61" s="423" t="str">
        <f t="shared" si="64"/>
        <v/>
      </c>
      <c r="AS61" s="423">
        <f t="shared" ref="AS61:AW62" si="65">IF( ISERR( FIND( "Q4", AS$28 ) ), "", SUM( AP56:AS56 ) )</f>
        <v>39</v>
      </c>
      <c r="AT61" s="423" t="str">
        <f t="shared" si="65"/>
        <v/>
      </c>
      <c r="AU61" s="423" t="str">
        <f t="shared" si="65"/>
        <v/>
      </c>
      <c r="AV61" s="423" t="str">
        <f t="shared" si="65"/>
        <v/>
      </c>
      <c r="AW61" s="423">
        <f t="shared" si="65"/>
        <v>37</v>
      </c>
      <c r="AX61" s="423" t="str">
        <f t="shared" ref="AX61:AZ62" si="66">IF( ISERR( FIND( "Q4", AX$28 ) ), "", SUM( AQ56:AX56 ) )</f>
        <v/>
      </c>
      <c r="AY61" s="423" t="str">
        <f t="shared" si="66"/>
        <v/>
      </c>
      <c r="AZ61" s="423" t="str">
        <f t="shared" si="66"/>
        <v/>
      </c>
      <c r="BA61" s="423">
        <f t="shared" ref="BA61:BA62" si="67">IF( ISERR( FIND( "Q4", BA$28 ) ), "", SUM( AX56:BA56 ) )</f>
        <v>60</v>
      </c>
      <c r="BB61" s="423" t="str">
        <f t="shared" ref="BB61:BD62" si="68">IF( ISERR( FIND( "Q4", BB$28 ) ), "", SUM( AQ56:BB56 ) )</f>
        <v/>
      </c>
      <c r="BC61" s="423" t="str">
        <f t="shared" si="68"/>
        <v/>
      </c>
      <c r="BD61" s="423" t="str">
        <f t="shared" si="68"/>
        <v/>
      </c>
      <c r="BE61" s="423">
        <f t="shared" ref="BE61:BE62" si="69">IF( ISERR( FIND( "Q4", BE$28 ) ), "", SUM( BB56:BE56 ) )</f>
        <v>103</v>
      </c>
      <c r="BF61" s="423" t="str">
        <f t="shared" ref="BF61:BH62" si="70">IF( ISERR( FIND( "Q4", BF$28 ) ), "", SUM( AQ56:BF56 ) )</f>
        <v/>
      </c>
      <c r="BG61" s="423" t="str">
        <f t="shared" si="70"/>
        <v/>
      </c>
      <c r="BH61" s="423" t="str">
        <f t="shared" si="70"/>
        <v/>
      </c>
      <c r="BI61" s="423">
        <f t="shared" ref="BI61:BI62" si="71">IF( ISERR( FIND( "Q4", BI$28 ) ), "", SUM( BF56:BI56 ) )</f>
        <v>35</v>
      </c>
      <c r="BJ61" s="423" t="str">
        <f t="shared" ref="BJ61:BL62" si="72">IF( ISERR( FIND( "Q4", BJ$28 ) ), "", SUM( AQ56:BJ56 ) )</f>
        <v/>
      </c>
      <c r="BK61" s="423" t="str">
        <f t="shared" si="72"/>
        <v/>
      </c>
      <c r="BL61" s="423" t="str">
        <f t="shared" si="72"/>
        <v/>
      </c>
      <c r="BM61" s="423">
        <f>IF( ISERR( FIND( "Q4", BM$28 ) ), "", SUM( BJ56:BM56 ) )</f>
        <v>49</v>
      </c>
      <c r="BN61" s="423" t="str">
        <f t="shared" ref="BN61:BP62" si="73">IF( ISERR( FIND( "Q4", BN$28 ) ), "", SUM( AQ56:BN56 ) )</f>
        <v/>
      </c>
      <c r="BO61" s="423" t="str">
        <f t="shared" si="73"/>
        <v/>
      </c>
      <c r="BP61" s="423" t="str">
        <f t="shared" si="73"/>
        <v/>
      </c>
      <c r="BQ61" s="423">
        <f>IF( ISERR( FIND( "Q4", BQ$28 ) ), "", SUM( BN56:BQ56 ) )</f>
        <v>38</v>
      </c>
      <c r="BR61" s="423" t="str">
        <f t="shared" ref="BR61:BT62" si="74">IF( ISERR( FIND( "Q4", BR$28 ) ), "", SUM( AU56:BR56 ) )</f>
        <v/>
      </c>
      <c r="BS61" s="423" t="str">
        <f t="shared" si="74"/>
        <v/>
      </c>
      <c r="BT61" s="423" t="str">
        <f t="shared" si="74"/>
        <v/>
      </c>
      <c r="BU61" s="423">
        <f>IF( ISERR( FIND( "Q4", BU$28 ) ), "", SUM( BR56:BU56 ) )</f>
        <v>41</v>
      </c>
      <c r="BV61" s="423" t="str">
        <f t="shared" ref="BV61:BV62" si="75">IF( ISERR( FIND( "Q4", BV$28 ) ), "", SUM( AY56:BV56 ) )</f>
        <v/>
      </c>
      <c r="BW61" s="423" t="str">
        <f t="shared" ref="BW61:BW62" si="76">IF( ISERR( FIND( "Q4", BW$28 ) ), "", SUM( AZ56:BW56 ) )</f>
        <v/>
      </c>
      <c r="BX61" s="423" t="str">
        <f t="shared" ref="BX61:BX62" si="77">IF( ISERR( FIND( "Q4", BX$28 ) ), "", SUM( BA56:BX56 ) )</f>
        <v/>
      </c>
      <c r="BY61" s="423">
        <f>IF( ISERR( FIND( "Q4", BY$28 ) ), "", SUM( BV56:BY56 ) )</f>
        <v>55</v>
      </c>
      <c r="BZ61" s="423" t="str">
        <f t="shared" ref="BZ61:CC62" si="78">IF( ISERR( FIND( "Q4", BZ$28 ) ), "", SUM( BW56:BZ56 ) )</f>
        <v/>
      </c>
      <c r="CA61" s="423" t="str">
        <f t="shared" si="78"/>
        <v/>
      </c>
      <c r="CB61" s="423" t="str">
        <f t="shared" si="78"/>
        <v/>
      </c>
      <c r="CC61" s="423">
        <f t="shared" si="78"/>
        <v>1</v>
      </c>
    </row>
    <row r="62" spans="1:81" s="427" customFormat="1" outlineLevel="1" x14ac:dyDescent="0.25">
      <c r="A62" s="426" t="s">
        <v>394</v>
      </c>
      <c r="E62" s="427">
        <f t="shared" si="61"/>
        <v>-150</v>
      </c>
      <c r="F62" s="427" t="str">
        <f t="shared" si="61"/>
        <v/>
      </c>
      <c r="G62" s="427" t="str">
        <f t="shared" si="61"/>
        <v/>
      </c>
      <c r="H62" s="427" t="str">
        <f t="shared" si="61"/>
        <v/>
      </c>
      <c r="I62" s="427">
        <f t="shared" si="61"/>
        <v>-279</v>
      </c>
      <c r="J62" s="427" t="str">
        <f t="shared" si="61"/>
        <v/>
      </c>
      <c r="K62" s="427" t="str">
        <f t="shared" si="61"/>
        <v/>
      </c>
      <c r="L62" s="427" t="str">
        <f t="shared" si="61"/>
        <v/>
      </c>
      <c r="M62" s="427">
        <f t="shared" si="61"/>
        <v>-218</v>
      </c>
      <c r="N62" s="427" t="str">
        <f t="shared" si="61"/>
        <v/>
      </c>
      <c r="O62" s="427" t="str">
        <f t="shared" si="62"/>
        <v/>
      </c>
      <c r="P62" s="427" t="str">
        <f t="shared" si="62"/>
        <v/>
      </c>
      <c r="Q62" s="427">
        <f t="shared" si="62"/>
        <v>-59</v>
      </c>
      <c r="R62" s="427" t="str">
        <f t="shared" si="62"/>
        <v/>
      </c>
      <c r="S62" s="427" t="str">
        <f t="shared" si="62"/>
        <v/>
      </c>
      <c r="T62" s="427" t="str">
        <f t="shared" si="62"/>
        <v/>
      </c>
      <c r="U62" s="427">
        <f t="shared" si="62"/>
        <v>-48</v>
      </c>
      <c r="V62" s="427" t="str">
        <f t="shared" si="62"/>
        <v/>
      </c>
      <c r="W62" s="427" t="str">
        <f t="shared" si="62"/>
        <v/>
      </c>
      <c r="X62" s="427" t="str">
        <f t="shared" si="62"/>
        <v/>
      </c>
      <c r="Y62" s="427">
        <f t="shared" si="63"/>
        <v>-43</v>
      </c>
      <c r="Z62" s="427" t="str">
        <f t="shared" si="63"/>
        <v/>
      </c>
      <c r="AA62" s="427" t="str">
        <f t="shared" si="63"/>
        <v/>
      </c>
      <c r="AB62" s="427" t="str">
        <f t="shared" si="63"/>
        <v/>
      </c>
      <c r="AC62" s="427">
        <f t="shared" si="63"/>
        <v>-48</v>
      </c>
      <c r="AD62" s="427" t="str">
        <f t="shared" si="63"/>
        <v/>
      </c>
      <c r="AE62" s="427" t="str">
        <f t="shared" si="63"/>
        <v/>
      </c>
      <c r="AF62" s="427" t="str">
        <f t="shared" si="63"/>
        <v/>
      </c>
      <c r="AG62" s="427">
        <f t="shared" si="63"/>
        <v>-26</v>
      </c>
      <c r="AH62" s="427" t="str">
        <f t="shared" si="63"/>
        <v/>
      </c>
      <c r="AI62" s="427" t="str">
        <f t="shared" si="64"/>
        <v/>
      </c>
      <c r="AJ62" s="427" t="str">
        <f t="shared" si="64"/>
        <v/>
      </c>
      <c r="AK62" s="427">
        <f t="shared" si="64"/>
        <v>-34</v>
      </c>
      <c r="AL62" s="427" t="str">
        <f t="shared" si="64"/>
        <v/>
      </c>
      <c r="AM62" s="427" t="str">
        <f t="shared" si="64"/>
        <v/>
      </c>
      <c r="AN62" s="427" t="str">
        <f t="shared" si="64"/>
        <v/>
      </c>
      <c r="AO62" s="427">
        <f t="shared" si="64"/>
        <v>-51</v>
      </c>
      <c r="AP62" s="427" t="str">
        <f t="shared" si="64"/>
        <v/>
      </c>
      <c r="AQ62" s="427" t="str">
        <f t="shared" si="64"/>
        <v/>
      </c>
      <c r="AR62" s="427" t="str">
        <f t="shared" si="64"/>
        <v/>
      </c>
      <c r="AS62" s="427">
        <f t="shared" si="65"/>
        <v>-21</v>
      </c>
      <c r="AT62" s="427" t="str">
        <f t="shared" si="65"/>
        <v/>
      </c>
      <c r="AU62" s="427" t="str">
        <f t="shared" si="65"/>
        <v/>
      </c>
      <c r="AV62" s="427" t="str">
        <f t="shared" si="65"/>
        <v/>
      </c>
      <c r="AW62" s="427">
        <f t="shared" si="65"/>
        <v>-39</v>
      </c>
      <c r="AX62" s="427" t="str">
        <f t="shared" si="66"/>
        <v/>
      </c>
      <c r="AY62" s="427" t="str">
        <f t="shared" si="66"/>
        <v/>
      </c>
      <c r="AZ62" s="427" t="str">
        <f t="shared" si="66"/>
        <v/>
      </c>
      <c r="BA62" s="427">
        <f t="shared" si="67"/>
        <v>-20</v>
      </c>
      <c r="BB62" s="427" t="str">
        <f t="shared" si="68"/>
        <v/>
      </c>
      <c r="BC62" s="427" t="str">
        <f t="shared" si="68"/>
        <v/>
      </c>
      <c r="BD62" s="427" t="str">
        <f t="shared" si="68"/>
        <v/>
      </c>
      <c r="BE62" s="427">
        <f t="shared" si="69"/>
        <v>-3</v>
      </c>
      <c r="BF62" s="427" t="str">
        <f t="shared" si="70"/>
        <v/>
      </c>
      <c r="BG62" s="427" t="str">
        <f t="shared" si="70"/>
        <v/>
      </c>
      <c r="BH62" s="427" t="str">
        <f t="shared" si="70"/>
        <v/>
      </c>
      <c r="BI62" s="427">
        <f t="shared" si="71"/>
        <v>-15</v>
      </c>
      <c r="BJ62" s="427" t="str">
        <f t="shared" si="72"/>
        <v/>
      </c>
      <c r="BK62" s="427" t="str">
        <f t="shared" si="72"/>
        <v/>
      </c>
      <c r="BL62" s="427" t="str">
        <f t="shared" si="72"/>
        <v/>
      </c>
      <c r="BM62" s="427">
        <f>IF( ISERR( FIND( "Q4", BM$28 ) ), "", SUM( BJ57:BM57 ) )</f>
        <v>-18</v>
      </c>
      <c r="BN62" s="427" t="str">
        <f t="shared" si="73"/>
        <v/>
      </c>
      <c r="BO62" s="427" t="str">
        <f t="shared" si="73"/>
        <v/>
      </c>
      <c r="BP62" s="427" t="str">
        <f t="shared" si="73"/>
        <v/>
      </c>
      <c r="BQ62" s="427">
        <f>IF( ISERR( FIND( "Q4", BQ$28 ) ), "", SUM( BN57:BQ57 ) )</f>
        <v>-14</v>
      </c>
      <c r="BR62" s="427" t="str">
        <f t="shared" si="74"/>
        <v/>
      </c>
      <c r="BS62" s="427" t="str">
        <f t="shared" si="74"/>
        <v/>
      </c>
      <c r="BT62" s="427" t="str">
        <f t="shared" si="74"/>
        <v/>
      </c>
      <c r="BU62" s="427">
        <f t="shared" ref="BU62" si="79">IF( ISERR( FIND( "Q4", BU$28 ) ), "", SUM( BR57:BU57 ) )</f>
        <v>-52</v>
      </c>
      <c r="BV62" s="427" t="str">
        <f t="shared" si="75"/>
        <v/>
      </c>
      <c r="BW62" s="427" t="str">
        <f t="shared" si="76"/>
        <v/>
      </c>
      <c r="BX62" s="427" t="str">
        <f t="shared" si="77"/>
        <v/>
      </c>
      <c r="BY62" s="427">
        <f t="shared" ref="BY62" si="80">IF( ISERR( FIND( "Q4", BY$28 ) ), "", SUM( BV57:BY57 ) )</f>
        <v>-35</v>
      </c>
      <c r="BZ62" s="427" t="str">
        <f t="shared" si="78"/>
        <v/>
      </c>
      <c r="CA62" s="427" t="str">
        <f t="shared" si="78"/>
        <v/>
      </c>
      <c r="CB62" s="427" t="str">
        <f t="shared" si="78"/>
        <v/>
      </c>
      <c r="CC62" s="427">
        <f t="shared" si="78"/>
        <v>-4</v>
      </c>
    </row>
    <row r="63" spans="1:81" s="200" customFormat="1" outlineLevel="1" x14ac:dyDescent="0.25">
      <c r="A63" s="198" t="s">
        <v>416</v>
      </c>
      <c r="B63" s="199"/>
      <c r="C63" s="199"/>
      <c r="D63" s="199"/>
      <c r="E63" s="199">
        <f t="shared" ref="E63:AS63" si="81">IF( LEN( E61 ) = 0, "", ABS( E61 ) + ABS( E62 ) )</f>
        <v>207</v>
      </c>
      <c r="F63" s="199" t="str">
        <f t="shared" si="81"/>
        <v/>
      </c>
      <c r="G63" s="199" t="str">
        <f t="shared" si="81"/>
        <v/>
      </c>
      <c r="H63" s="199" t="str">
        <f t="shared" si="81"/>
        <v/>
      </c>
      <c r="I63" s="199">
        <f t="shared" si="81"/>
        <v>300</v>
      </c>
      <c r="J63" s="199" t="str">
        <f t="shared" si="81"/>
        <v/>
      </c>
      <c r="K63" s="199" t="str">
        <f t="shared" si="81"/>
        <v/>
      </c>
      <c r="L63" s="199" t="str">
        <f t="shared" si="81"/>
        <v/>
      </c>
      <c r="M63" s="199">
        <f t="shared" si="81"/>
        <v>253</v>
      </c>
      <c r="N63" s="199" t="str">
        <f t="shared" si="81"/>
        <v/>
      </c>
      <c r="O63" s="199" t="str">
        <f t="shared" si="81"/>
        <v/>
      </c>
      <c r="P63" s="199" t="str">
        <f t="shared" si="81"/>
        <v/>
      </c>
      <c r="Q63" s="199">
        <f t="shared" si="81"/>
        <v>110</v>
      </c>
      <c r="R63" s="199" t="str">
        <f t="shared" si="81"/>
        <v/>
      </c>
      <c r="S63" s="199" t="str">
        <f t="shared" si="81"/>
        <v/>
      </c>
      <c r="T63" s="199" t="str">
        <f t="shared" si="81"/>
        <v/>
      </c>
      <c r="U63" s="199">
        <f t="shared" si="81"/>
        <v>121</v>
      </c>
      <c r="V63" s="199" t="str">
        <f t="shared" si="81"/>
        <v/>
      </c>
      <c r="W63" s="199" t="str">
        <f t="shared" si="81"/>
        <v/>
      </c>
      <c r="X63" s="199" t="str">
        <f t="shared" si="81"/>
        <v/>
      </c>
      <c r="Y63" s="199">
        <f t="shared" si="81"/>
        <v>110</v>
      </c>
      <c r="Z63" s="199" t="str">
        <f t="shared" si="81"/>
        <v/>
      </c>
      <c r="AA63" s="199" t="str">
        <f t="shared" si="81"/>
        <v/>
      </c>
      <c r="AB63" s="199" t="str">
        <f t="shared" si="81"/>
        <v/>
      </c>
      <c r="AC63" s="199">
        <f t="shared" si="81"/>
        <v>121</v>
      </c>
      <c r="AD63" s="199" t="str">
        <f t="shared" si="81"/>
        <v/>
      </c>
      <c r="AE63" s="199" t="str">
        <f t="shared" si="81"/>
        <v/>
      </c>
      <c r="AF63" s="199" t="str">
        <f t="shared" si="81"/>
        <v/>
      </c>
      <c r="AG63" s="199">
        <f t="shared" si="81"/>
        <v>50</v>
      </c>
      <c r="AH63" s="199" t="str">
        <f t="shared" si="81"/>
        <v/>
      </c>
      <c r="AI63" s="199" t="str">
        <f t="shared" si="81"/>
        <v/>
      </c>
      <c r="AJ63" s="199" t="str">
        <f t="shared" si="81"/>
        <v/>
      </c>
      <c r="AK63" s="199">
        <f t="shared" si="81"/>
        <v>57</v>
      </c>
      <c r="AL63" s="199" t="str">
        <f t="shared" si="81"/>
        <v/>
      </c>
      <c r="AM63" s="199" t="str">
        <f t="shared" si="81"/>
        <v/>
      </c>
      <c r="AN63" s="199" t="str">
        <f t="shared" si="81"/>
        <v/>
      </c>
      <c r="AO63" s="199">
        <f t="shared" si="81"/>
        <v>80</v>
      </c>
      <c r="AP63" s="199" t="str">
        <f t="shared" si="81"/>
        <v/>
      </c>
      <c r="AQ63" s="199" t="str">
        <f t="shared" si="81"/>
        <v/>
      </c>
      <c r="AR63" s="199" t="str">
        <f t="shared" si="81"/>
        <v/>
      </c>
      <c r="AS63" s="199">
        <f t="shared" si="81"/>
        <v>60</v>
      </c>
      <c r="AT63" s="199" t="str">
        <f t="shared" ref="AT63:BU63" si="82">IF( LEN( AT61 ) = 0, "", ABS( AT61 ) + ABS( AT62 ) )</f>
        <v/>
      </c>
      <c r="AU63" s="199" t="str">
        <f t="shared" si="82"/>
        <v/>
      </c>
      <c r="AV63" s="199" t="str">
        <f t="shared" si="82"/>
        <v/>
      </c>
      <c r="AW63" s="199">
        <f t="shared" si="82"/>
        <v>76</v>
      </c>
      <c r="AX63" s="199" t="str">
        <f t="shared" ref="AX63:BQ63" si="83">IF( LEN( AX61 ) = 0, "", ABS( AX61 ) + ABS( AX62 ) )</f>
        <v/>
      </c>
      <c r="AY63" s="199" t="str">
        <f t="shared" si="83"/>
        <v/>
      </c>
      <c r="AZ63" s="199" t="str">
        <f t="shared" si="83"/>
        <v/>
      </c>
      <c r="BA63" s="199">
        <f t="shared" si="83"/>
        <v>80</v>
      </c>
      <c r="BB63" s="199" t="str">
        <f t="shared" si="83"/>
        <v/>
      </c>
      <c r="BC63" s="199" t="str">
        <f t="shared" si="83"/>
        <v/>
      </c>
      <c r="BD63" s="199" t="str">
        <f t="shared" si="83"/>
        <v/>
      </c>
      <c r="BE63" s="199">
        <f t="shared" si="83"/>
        <v>106</v>
      </c>
      <c r="BF63" s="199" t="str">
        <f t="shared" si="83"/>
        <v/>
      </c>
      <c r="BG63" s="199" t="str">
        <f t="shared" si="83"/>
        <v/>
      </c>
      <c r="BH63" s="199" t="str">
        <f t="shared" si="83"/>
        <v/>
      </c>
      <c r="BI63" s="199">
        <f t="shared" si="83"/>
        <v>50</v>
      </c>
      <c r="BJ63" s="199" t="str">
        <f t="shared" si="83"/>
        <v/>
      </c>
      <c r="BK63" s="199" t="str">
        <f t="shared" si="83"/>
        <v/>
      </c>
      <c r="BL63" s="199" t="str">
        <f t="shared" si="83"/>
        <v/>
      </c>
      <c r="BM63" s="199">
        <f t="shared" si="83"/>
        <v>67</v>
      </c>
      <c r="BN63" s="199" t="str">
        <f t="shared" si="83"/>
        <v/>
      </c>
      <c r="BO63" s="199" t="str">
        <f t="shared" si="83"/>
        <v/>
      </c>
      <c r="BP63" s="199" t="str">
        <f t="shared" si="83"/>
        <v/>
      </c>
      <c r="BQ63" s="199">
        <f t="shared" si="83"/>
        <v>52</v>
      </c>
      <c r="BR63" s="199" t="str">
        <f t="shared" si="82"/>
        <v/>
      </c>
      <c r="BS63" s="199" t="str">
        <f t="shared" si="82"/>
        <v/>
      </c>
      <c r="BT63" s="199" t="str">
        <f t="shared" si="82"/>
        <v/>
      </c>
      <c r="BU63" s="199">
        <f t="shared" si="82"/>
        <v>93</v>
      </c>
      <c r="BV63" s="199" t="str">
        <f t="shared" ref="BV63:CC63" si="84">IF( LEN( BV61 ) = 0, "", ABS( BV61 ) + ABS( BV62 ) )</f>
        <v/>
      </c>
      <c r="BW63" s="199" t="str">
        <f t="shared" si="84"/>
        <v/>
      </c>
      <c r="BX63" s="199" t="str">
        <f t="shared" si="84"/>
        <v/>
      </c>
      <c r="BY63" s="199">
        <f t="shared" si="84"/>
        <v>90</v>
      </c>
      <c r="BZ63" s="199" t="str">
        <f t="shared" si="84"/>
        <v/>
      </c>
      <c r="CA63" s="199" t="str">
        <f t="shared" si="84"/>
        <v/>
      </c>
      <c r="CB63" s="199" t="str">
        <f t="shared" si="84"/>
        <v/>
      </c>
      <c r="CC63" s="199">
        <f t="shared" si="84"/>
        <v>5</v>
      </c>
    </row>
    <row r="64" spans="1:81" s="174" customFormat="1" x14ac:dyDescent="0.25">
      <c r="B64" s="176"/>
      <c r="C64" s="176"/>
      <c r="D64" s="179"/>
      <c r="E64" s="179"/>
      <c r="F64" s="179"/>
      <c r="G64" s="178"/>
      <c r="H64" s="178"/>
      <c r="I64" s="178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'Credit_2018Q4'!d:d</v>
      </c>
      <c r="AK2" s="240" t="str">
        <f>AK4 &amp; AK3</f>
        <v>'Credit_2018Q4'!b1</v>
      </c>
      <c r="AL2" s="240" t="str">
        <f>AL4 &amp; AL3</f>
        <v>'Credit_2018Q4'!c1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'Credit_2018Q4'!</v>
      </c>
      <c r="AK4" s="236" t="str">
        <f t="shared" ref="AK4:AL4" si="0">$AQ$5</f>
        <v>'Credit_2018Q4'!</v>
      </c>
      <c r="AL4" s="236" t="str">
        <f t="shared" si="0"/>
        <v>'Credit_2018Q4'!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(45)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(10)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576</v>
      </c>
    </row>
    <row r="6" spans="1:61" ht="28.5" customHeight="1" x14ac:dyDescent="0.25">
      <c r="A6" s="299" t="s">
        <v>0</v>
      </c>
      <c r="B6" s="300" t="s">
        <v>578</v>
      </c>
      <c r="C6" s="338" t="s">
        <v>470</v>
      </c>
      <c r="D6" s="301"/>
      <c r="E6" s="302">
        <f ca="1">INDIRECT( E3 &amp; G1 )</f>
        <v>43465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6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18.733333333333334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18.62857142857143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19.100000000000001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20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21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22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23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24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25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>
        <f t="shared" ca="1" si="18"/>
        <v>1</v>
      </c>
      <c r="AJ24" s="236">
        <f t="shared" ca="1" si="19"/>
        <v>11</v>
      </c>
      <c r="AK24" s="236" t="str">
        <f t="shared" ca="1" si="20"/>
        <v>A-</v>
      </c>
      <c r="AL24" s="236">
        <f t="shared" ca="1" si="20"/>
        <v>20</v>
      </c>
      <c r="AM24" s="236" t="str">
        <f t="shared" ca="1" si="4"/>
        <v>Change</v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30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42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38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>
        <f t="shared" ca="1" si="18"/>
        <v>1</v>
      </c>
      <c r="AJ39" s="236">
        <f t="shared" ca="1" si="19"/>
        <v>29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>Change</v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9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47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48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49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50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52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'Credit_2018Q3'!d:d</v>
      </c>
      <c r="AK2" s="240" t="str">
        <f>AK4 &amp; AK3</f>
        <v>'Credit_2018Q3'!b1</v>
      </c>
      <c r="AL2" s="240" t="str">
        <f>AL4 &amp; AL3</f>
        <v>'Credit_2018Q3'!c1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'Credit_2018Q3'!</v>
      </c>
      <c r="AK4" s="236" t="str">
        <f t="shared" ref="AK4:AL4" si="0">$AQ$5</f>
        <v>'Credit_2018Q3'!</v>
      </c>
      <c r="AL4" s="236" t="str">
        <f t="shared" si="0"/>
        <v>'Credit_2018Q3'!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(47)</v>
      </c>
      <c r="M5" s="505"/>
      <c r="N5" s="314"/>
      <c r="O5" s="503" t="str">
        <f ca="1">"Regulated" &amp; CHAR( 10 ) &amp; "(" &amp; O14 &amp; ")"</f>
        <v>Regulated
(34)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574</v>
      </c>
    </row>
    <row r="6" spans="1:61" ht="28.5" customHeight="1" x14ac:dyDescent="0.25">
      <c r="A6" s="299" t="s">
        <v>0</v>
      </c>
      <c r="B6" s="300" t="s">
        <v>572</v>
      </c>
      <c r="C6" s="338" t="s">
        <v>470</v>
      </c>
      <c r="D6" s="301"/>
      <c r="E6" s="302">
        <f ca="1">INDIRECT( E3 &amp; G1 )</f>
        <v>43100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0.38297872340425532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0.1702127659574468</v>
      </c>
      <c r="N11" s="318"/>
      <c r="O11" s="295">
        <f t="shared" ca="1" si="11"/>
        <v>7</v>
      </c>
      <c r="P11" s="296">
        <f t="shared" ca="1" si="12"/>
        <v>0.20588235294117646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19.021276595744681</v>
      </c>
      <c r="Z14" s="261"/>
      <c r="AA14" s="483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19.085106382978722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18.970588235294116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19.384615384615383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2</v>
      </c>
      <c r="AX24" s="287">
        <f t="shared" si="22"/>
        <v>34.200000000000003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34</v>
      </c>
      <c r="AW28" s="234">
        <f>COUNTIF( AV$7:AV28, AV28 )</f>
        <v>3</v>
      </c>
      <c r="AX28" s="287">
        <f t="shared" si="22"/>
        <v>34.299999999999997</v>
      </c>
      <c r="AY28" s="234">
        <f t="shared" si="23"/>
        <v>36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9" t="s">
        <v>298</v>
      </c>
      <c r="AV29" s="234">
        <f t="shared" si="21"/>
        <v>34</v>
      </c>
      <c r="AW29" s="234">
        <f>COUNTIF( AV$7:AV29, AV29 )</f>
        <v>4</v>
      </c>
      <c r="AX29" s="287">
        <f t="shared" si="22"/>
        <v>34.4</v>
      </c>
      <c r="AY29" s="234">
        <f t="shared" si="23"/>
        <v>37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34</v>
      </c>
      <c r="AW32" s="234">
        <f>COUNTIF( AV$7:AV32, AV32 )</f>
        <v>6</v>
      </c>
      <c r="AX32" s="287">
        <f t="shared" si="22"/>
        <v>34.6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7</v>
      </c>
      <c r="AX36" s="287">
        <f t="shared" si="22"/>
        <v>34.700000000000003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R</v>
      </c>
      <c r="F37" s="306"/>
      <c r="G37" s="307">
        <f t="shared" ca="1" si="1"/>
        <v>42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>
        <f t="shared" ca="1" si="3"/>
        <v>1</v>
      </c>
      <c r="AH37" s="236" t="str">
        <f t="shared" ca="1" si="18"/>
        <v/>
      </c>
      <c r="AJ37" s="236">
        <f t="shared" ca="1" si="19"/>
        <v>52</v>
      </c>
      <c r="AK37" s="236" t="str">
        <f t="shared" ca="1" si="20"/>
        <v>BBB-</v>
      </c>
      <c r="AL37" s="236">
        <f t="shared" ca="1" si="20"/>
        <v>17</v>
      </c>
      <c r="AM37" s="236" t="str">
        <f t="shared" ca="1" si="4"/>
        <v>Change</v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40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34</v>
      </c>
      <c r="AW38" s="234">
        <f>COUNTIF( AV$7:AV38, AV38 )</f>
        <v>8</v>
      </c>
      <c r="AX38" s="287">
        <f t="shared" si="22"/>
        <v>34.799999999999997</v>
      </c>
      <c r="AY38" s="234">
        <f t="shared" si="23"/>
        <v>41</v>
      </c>
      <c r="AZ38" s="236"/>
      <c r="BA38" s="236"/>
      <c r="BC38" s="234">
        <f t="shared" ca="1" si="24"/>
        <v>32</v>
      </c>
      <c r="BD38" s="288">
        <f t="shared" ca="1" si="6"/>
        <v>41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53</v>
      </c>
      <c r="AR39" s="286" t="s">
        <v>49</v>
      </c>
      <c r="AS39" s="286">
        <v>17</v>
      </c>
      <c r="AT39" s="289" t="s">
        <v>317</v>
      </c>
      <c r="AV39" s="234">
        <f t="shared" si="21"/>
        <v>42</v>
      </c>
      <c r="AW39" s="234">
        <f>COUNTIF( AV$7:AV39, AV39 )</f>
        <v>4</v>
      </c>
      <c r="AX39" s="287">
        <f t="shared" si="22"/>
        <v>42.4</v>
      </c>
      <c r="AY39" s="234">
        <f t="shared" si="23"/>
        <v>45</v>
      </c>
      <c r="AZ39" s="236"/>
      <c r="BA39" s="236"/>
      <c r="BC39" s="234">
        <f t="shared" ca="1" si="24"/>
        <v>33</v>
      </c>
      <c r="BD39" s="288">
        <f t="shared" ca="1" si="6"/>
        <v>43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22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51</v>
      </c>
      <c r="B43" s="304" t="s">
        <v>28</v>
      </c>
      <c r="C43" s="304">
        <v>18</v>
      </c>
      <c r="D43" s="304" t="s">
        <v>298</v>
      </c>
      <c r="E43" s="305" t="str">
        <f t="shared" ca="1" si="8"/>
        <v>R</v>
      </c>
      <c r="F43" s="306"/>
      <c r="G43" s="307">
        <f t="shared" ca="1" si="1"/>
        <v>26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23</v>
      </c>
      <c r="BF43" s="240" t="str">
        <f t="shared" ca="1" si="25"/>
        <v>FirstEnergy Corp.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FE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58</v>
      </c>
      <c r="B45" s="304" t="s">
        <v>28</v>
      </c>
      <c r="C45" s="304">
        <v>18</v>
      </c>
      <c r="D45" s="304" t="s">
        <v>445</v>
      </c>
      <c r="E45" s="305" t="str">
        <f t="shared" ca="1" si="8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IPALCO Enterprises,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**IPALCO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16</v>
      </c>
      <c r="AS46" s="286">
        <v>19</v>
      </c>
      <c r="AT46" s="286" t="s">
        <v>326</v>
      </c>
      <c r="AV46" s="234">
        <f t="shared" si="21"/>
        <v>16</v>
      </c>
      <c r="AW46" s="234">
        <f>COUNTIF( AV$7:AV46, AV46 )</f>
        <v>16</v>
      </c>
      <c r="AX46" s="287">
        <f t="shared" si="22"/>
        <v>17.600000000000001</v>
      </c>
      <c r="AY46" s="234">
        <f t="shared" si="23"/>
        <v>31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17</v>
      </c>
      <c r="AX47" s="287">
        <f t="shared" si="22"/>
        <v>17.7</v>
      </c>
      <c r="AY47" s="234">
        <f t="shared" si="23"/>
        <v>32</v>
      </c>
      <c r="AZ47" s="236"/>
      <c r="BA47" s="236"/>
      <c r="BC47" s="234">
        <f t="shared" ca="1" si="24"/>
        <v>41</v>
      </c>
      <c r="BD47" s="288">
        <f t="shared" ca="1" si="6"/>
        <v>32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18</v>
      </c>
      <c r="AX49" s="287">
        <f t="shared" si="22"/>
        <v>17.8</v>
      </c>
      <c r="AY49" s="234">
        <f t="shared" si="23"/>
        <v>33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53</v>
      </c>
      <c r="B51" s="304" t="s">
        <v>49</v>
      </c>
      <c r="C51" s="304">
        <v>17</v>
      </c>
      <c r="D51" s="304" t="s">
        <v>317</v>
      </c>
      <c r="E51" s="305" t="str">
        <f t="shared" ca="1" si="8"/>
        <v>R</v>
      </c>
      <c r="F51" s="306"/>
      <c r="G51" s="307">
        <f t="shared" ca="1" si="1"/>
        <v>36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>
        <f t="shared" ca="1" si="18"/>
        <v>1</v>
      </c>
      <c r="AJ51" s="236">
        <f t="shared" ca="1" si="19"/>
        <v>47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>Change</v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33</v>
      </c>
      <c r="BF51" s="240" t="str">
        <f t="shared" ca="1" si="25"/>
        <v>PG&amp;E Corporation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PCG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19.085106382978722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19.021276595744681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'Credit_2018Q2'!d:d</v>
      </c>
      <c r="AK2" s="240" t="str">
        <f>AK4 &amp; AK3</f>
        <v>'Credit_2018Q2'!b1</v>
      </c>
      <c r="AL2" s="240" t="str">
        <f>AL4 &amp; AL3</f>
        <v>'Credit_2018Q2'!c1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'Credit_2018Q2'!</v>
      </c>
      <c r="AK4" s="236" t="str">
        <f t="shared" ref="AK4:AL4" si="0">$AQ$5</f>
        <v>'Credit_2018Q2'!</v>
      </c>
      <c r="AL4" s="236" t="str">
        <f t="shared" si="0"/>
        <v>'Credit_2018Q2'!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(47)</v>
      </c>
      <c r="M5" s="505"/>
      <c r="N5" s="314"/>
      <c r="O5" s="503" t="str">
        <f ca="1">"Regulated" &amp; CHAR( 10 ) &amp; "(" &amp; O14 &amp; ")"</f>
        <v>Regulated
(34)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573</v>
      </c>
    </row>
    <row r="6" spans="1:61" ht="28.5" customHeight="1" x14ac:dyDescent="0.25">
      <c r="A6" s="299" t="s">
        <v>0</v>
      </c>
      <c r="B6" s="300" t="s">
        <v>571</v>
      </c>
      <c r="C6" s="338" t="s">
        <v>470</v>
      </c>
      <c r="D6" s="301"/>
      <c r="E6" s="302">
        <f ca="1">INDIRECT( E3 &amp; G1 )</f>
        <v>43100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0.36170212765957449</v>
      </c>
      <c r="N10" s="318"/>
      <c r="O10" s="295">
        <f t="shared" ca="1" si="11"/>
        <v>10</v>
      </c>
      <c r="P10" s="296">
        <f t="shared" ca="1" si="12"/>
        <v>0.29411764705882354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0.19148936170212766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19</v>
      </c>
      <c r="Z14" s="261"/>
      <c r="AA14" s="482">
        <f ca="1">SUM(AA8:AA13)</f>
        <v>47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16</v>
      </c>
      <c r="AW14" s="234">
        <f>COUNTIF( AV$7:AV14, AV14 )</f>
        <v>4</v>
      </c>
      <c r="AX14" s="287">
        <f t="shared" si="22"/>
        <v>16.399999999999999</v>
      </c>
      <c r="AY14" s="234">
        <f t="shared" si="23"/>
        <v>19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19.063829787234042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18.941176470588236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19.384615384615383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5</v>
      </c>
      <c r="AX17" s="287">
        <f t="shared" si="22"/>
        <v>16.5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6</v>
      </c>
      <c r="AX19" s="287">
        <f t="shared" si="22"/>
        <v>16.600000000000001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7</v>
      </c>
      <c r="AX21" s="287">
        <f t="shared" si="22"/>
        <v>16.7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8</v>
      </c>
      <c r="AX23" s="287">
        <f t="shared" si="22"/>
        <v>16.8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2</v>
      </c>
      <c r="AX24" s="287">
        <f t="shared" si="22"/>
        <v>33.200000000000003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48</v>
      </c>
      <c r="B25" s="304" t="s">
        <v>16</v>
      </c>
      <c r="C25" s="304">
        <v>19</v>
      </c>
      <c r="D25" s="304" t="s">
        <v>279</v>
      </c>
      <c r="E25" s="305" t="str">
        <f t="shared" ca="1" si="8"/>
        <v>R</v>
      </c>
      <c r="F25" s="306"/>
      <c r="G25" s="307">
        <f t="shared" ca="1" si="1"/>
        <v>13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>
        <f t="shared" ca="1" si="3"/>
        <v>1</v>
      </c>
      <c r="AH25" s="236" t="str">
        <f t="shared" ca="1" si="18"/>
        <v/>
      </c>
      <c r="AJ25" s="236">
        <f t="shared" ca="1" si="19"/>
        <v>38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4"/>
        <v>Change</v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9</v>
      </c>
      <c r="AX25" s="287">
        <f t="shared" si="22"/>
        <v>16.899999999999999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8</v>
      </c>
      <c r="BF25" s="240" t="str">
        <f t="shared" ca="1" si="7"/>
        <v>Black Hills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BKH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3</v>
      </c>
      <c r="AX28" s="287">
        <f t="shared" si="22"/>
        <v>33.299999999999997</v>
      </c>
      <c r="AY28" s="234">
        <f t="shared" si="23"/>
        <v>35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33</v>
      </c>
      <c r="AW29" s="234">
        <f>COUNTIF( AV$7:AV29, AV29 )</f>
        <v>4</v>
      </c>
      <c r="AX29" s="287">
        <f t="shared" si="22"/>
        <v>33.4</v>
      </c>
      <c r="AY29" s="234">
        <f t="shared" si="23"/>
        <v>36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22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3</v>
      </c>
      <c r="AX30" s="287">
        <f t="shared" si="22"/>
        <v>42.3</v>
      </c>
      <c r="AY30" s="234">
        <f t="shared" si="23"/>
        <v>44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21</v>
      </c>
      <c r="B33" s="304" t="s">
        <v>16</v>
      </c>
      <c r="C33" s="304">
        <v>19</v>
      </c>
      <c r="D33" s="304" t="s">
        <v>315</v>
      </c>
      <c r="E33" s="305" t="str">
        <f t="shared" ca="1" si="8"/>
        <v>R</v>
      </c>
      <c r="F33" s="306"/>
      <c r="G33" s="307">
        <f t="shared" ca="1" si="1"/>
        <v>34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31</v>
      </c>
      <c r="BF33" s="240" t="str">
        <f t="shared" ca="1" si="7"/>
        <v>OGE Energy Corp.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OGE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24</v>
      </c>
      <c r="B35" s="304" t="s">
        <v>16</v>
      </c>
      <c r="C35" s="304">
        <v>19</v>
      </c>
      <c r="D35" s="304" t="s">
        <v>323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8"/>
        <v/>
      </c>
      <c r="AJ35" s="236">
        <f t="shared" ca="1" si="19"/>
        <v>46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>Change</v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Portland General Electric Company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POR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38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12</v>
      </c>
      <c r="AX37" s="287">
        <f t="shared" si="22"/>
        <v>17.2</v>
      </c>
      <c r="AY37" s="234">
        <f t="shared" si="23"/>
        <v>27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43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33</v>
      </c>
      <c r="AW39" s="234">
        <f>COUNTIF( AV$7:AV39, AV39 )</f>
        <v>9</v>
      </c>
      <c r="AX39" s="287">
        <f t="shared" si="22"/>
        <v>33.9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11</v>
      </c>
      <c r="B41" s="304" t="s">
        <v>28</v>
      </c>
      <c r="C41" s="304">
        <v>18</v>
      </c>
      <c r="D41" s="304" t="s">
        <v>297</v>
      </c>
      <c r="E41" s="305" t="str">
        <f t="shared" ca="1" si="8"/>
        <v>MR</v>
      </c>
      <c r="F41" s="306"/>
      <c r="G41" s="307">
        <f t="shared" ca="1" si="1"/>
        <v>25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22</v>
      </c>
      <c r="BF41" s="240" t="str">
        <f t="shared" ca="1" si="25"/>
        <v>Exelon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EXC</v>
      </c>
    </row>
    <row r="42" spans="1:61" ht="13.8" x14ac:dyDescent="0.25">
      <c r="A42" s="303" t="s">
        <v>51</v>
      </c>
      <c r="B42" s="304" t="s">
        <v>28</v>
      </c>
      <c r="C42" s="304">
        <v>18</v>
      </c>
      <c r="D42" s="304" t="s">
        <v>298</v>
      </c>
      <c r="E42" s="305" t="str">
        <f t="shared" ca="1" si="8"/>
        <v>R</v>
      </c>
      <c r="F42" s="306"/>
      <c r="G42" s="307">
        <f t="shared" ca="1" si="1"/>
        <v>26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>
        <f t="shared" ca="1" si="3"/>
        <v>1</v>
      </c>
      <c r="AH42" s="236" t="str">
        <f t="shared" ca="1" si="18"/>
        <v/>
      </c>
      <c r="AJ42" s="236">
        <f t="shared" ca="1" si="19"/>
        <v>50</v>
      </c>
      <c r="AK42" s="236" t="str">
        <f t="shared" ca="1" si="20"/>
        <v>BBB-</v>
      </c>
      <c r="AL42" s="236">
        <f t="shared" ca="1" si="20"/>
        <v>17</v>
      </c>
      <c r="AM42" s="236" t="str">
        <f t="shared" ca="1" si="4"/>
        <v>Change</v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23</v>
      </c>
      <c r="BF42" s="240" t="str">
        <f t="shared" ca="1" si="25"/>
        <v>FirstEnergy Corp.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FE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15</v>
      </c>
      <c r="AX44" s="287">
        <f t="shared" si="22"/>
        <v>17.5</v>
      </c>
      <c r="AY44" s="234">
        <f t="shared" si="23"/>
        <v>30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4</v>
      </c>
      <c r="AX45" s="287">
        <f t="shared" si="22"/>
        <v>42.4</v>
      </c>
      <c r="AY45" s="234">
        <f t="shared" si="23"/>
        <v>45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49</v>
      </c>
      <c r="AS46" s="286">
        <v>17</v>
      </c>
      <c r="AT46" s="286" t="s">
        <v>326</v>
      </c>
      <c r="AV46" s="234">
        <f t="shared" si="21"/>
        <v>42</v>
      </c>
      <c r="AW46" s="234">
        <f>COUNTIF( AV$7:AV46, AV46 )</f>
        <v>5</v>
      </c>
      <c r="AX46" s="287">
        <f t="shared" si="22"/>
        <v>42.5</v>
      </c>
      <c r="AY46" s="234">
        <f t="shared" si="23"/>
        <v>46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17</v>
      </c>
      <c r="AX49" s="287">
        <f t="shared" si="22"/>
        <v>17.7</v>
      </c>
      <c r="AY49" s="234">
        <f t="shared" si="23"/>
        <v>32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39</v>
      </c>
      <c r="B50" s="304" t="s">
        <v>49</v>
      </c>
      <c r="C50" s="304">
        <v>17</v>
      </c>
      <c r="D50" s="304" t="s">
        <v>301</v>
      </c>
      <c r="E50" s="305" t="str">
        <f t="shared" ca="1" si="8"/>
        <v>MR</v>
      </c>
      <c r="F50" s="306"/>
      <c r="G50" s="307">
        <f t="shared" ca="1" si="1"/>
        <v>27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24</v>
      </c>
      <c r="BF50" s="240" t="str">
        <f t="shared" ca="1" si="25"/>
        <v>Hawaiian Electric Industries,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HE</v>
      </c>
    </row>
    <row r="51" spans="1:61" ht="13.8" x14ac:dyDescent="0.25">
      <c r="A51" s="303" t="s">
        <v>54</v>
      </c>
      <c r="B51" s="304" t="s">
        <v>49</v>
      </c>
      <c r="C51" s="304">
        <v>17</v>
      </c>
      <c r="D51" s="304" t="s">
        <v>448</v>
      </c>
      <c r="E51" s="305" t="str">
        <f t="shared" ca="1" si="8"/>
        <v>R</v>
      </c>
      <c r="F51" s="306"/>
      <c r="G51" s="307">
        <f t="shared" ca="1" si="1"/>
        <v>57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39</v>
      </c>
      <c r="BF51" s="240" t="str">
        <f t="shared" ca="1" si="25"/>
        <v>Puget Energy,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**PSD</v>
      </c>
    </row>
    <row r="52" spans="1:61" ht="13.8" x14ac:dyDescent="0.25">
      <c r="A52" s="303" t="s">
        <v>13</v>
      </c>
      <c r="B52" s="304" t="s">
        <v>49</v>
      </c>
      <c r="C52" s="304">
        <v>17</v>
      </c>
      <c r="D52" s="304" t="s">
        <v>326</v>
      </c>
      <c r="E52" s="305" t="str">
        <f t="shared" ca="1" si="8"/>
        <v>R</v>
      </c>
      <c r="F52" s="306"/>
      <c r="G52" s="307">
        <f t="shared" ca="1" si="1"/>
        <v>42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>
        <f t="shared" ca="1" si="18"/>
        <v>1</v>
      </c>
      <c r="AJ52" s="236">
        <f t="shared" ca="1" si="19"/>
        <v>47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>Change</v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40</v>
      </c>
      <c r="BF52" s="240" t="str">
        <f t="shared" ca="1" si="25"/>
        <v>SCANA Corporation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SCG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19.063829787234042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'Credit_2018Q1'!d:d</v>
      </c>
      <c r="AK2" s="240" t="str">
        <f>AK4 &amp; AK3</f>
        <v>'Credit_2018Q1'!b1</v>
      </c>
      <c r="AL2" s="240" t="str">
        <f>AL4 &amp; AL3</f>
        <v>'Credit_2018Q1'!c1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'Credit_2018Q1'!</v>
      </c>
      <c r="AK4" s="236" t="str">
        <f t="shared" ref="AK4:AL4" si="0">$AQ$5</f>
        <v>'Credit_2018Q1'!</v>
      </c>
      <c r="AL4" s="236" t="str">
        <f t="shared" si="0"/>
        <v>'Credit_2018Q1'!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(47)</v>
      </c>
      <c r="M5" s="505"/>
      <c r="N5" s="314"/>
      <c r="O5" s="503" t="str">
        <f ca="1">"Regulated" &amp; CHAR( 10 ) &amp; "(" &amp; O14 &amp; ")"</f>
        <v>Regulated
(34)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569</v>
      </c>
    </row>
    <row r="6" spans="1:61" ht="28.5" customHeight="1" x14ac:dyDescent="0.25">
      <c r="A6" s="299" t="s">
        <v>0</v>
      </c>
      <c r="B6" s="300" t="s">
        <v>570</v>
      </c>
      <c r="C6" s="338" t="s">
        <v>470</v>
      </c>
      <c r="D6" s="301"/>
      <c r="E6" s="302">
        <f ca="1">INDIRECT( E3 &amp; G1 )</f>
        <v>43100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6.3829787234042548E-2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0.27659574468085107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0.31914893617021278</v>
      </c>
      <c r="N10" s="318"/>
      <c r="O10" s="295">
        <f t="shared" ca="1" si="11"/>
        <v>8</v>
      </c>
      <c r="P10" s="296">
        <f t="shared" ca="1" si="12"/>
        <v>0.23529411764705882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11</v>
      </c>
      <c r="M11" s="296">
        <f t="shared" si="10"/>
        <v>0.23404255319148937</v>
      </c>
      <c r="N11" s="318"/>
      <c r="O11" s="295">
        <f t="shared" ca="1" si="11"/>
        <v>10</v>
      </c>
      <c r="P11" s="296">
        <f t="shared" ca="1" si="12"/>
        <v>0.29411764705882354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11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0.10638297872340426</v>
      </c>
      <c r="N12" s="318"/>
      <c r="O12" s="295">
        <f t="shared" ca="1" si="11"/>
        <v>4</v>
      </c>
      <c r="P12" s="296">
        <f t="shared" ca="1" si="12"/>
        <v>0.11764705882352941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31</v>
      </c>
      <c r="AW12" s="234">
        <f>COUNTIF( AV$7:AV12, AV12 )</f>
        <v>1</v>
      </c>
      <c r="AX12" s="287">
        <f t="shared" si="22"/>
        <v>31.1</v>
      </c>
      <c r="AY12" s="234">
        <f t="shared" si="23"/>
        <v>31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565</v>
      </c>
      <c r="B14" s="304" t="s">
        <v>10</v>
      </c>
      <c r="C14" s="304">
        <v>20</v>
      </c>
      <c r="D14" s="304" t="s">
        <v>566</v>
      </c>
      <c r="E14" s="305" t="str">
        <f t="shared" ca="1" si="8"/>
        <v>R</v>
      </c>
      <c r="F14" s="306"/>
      <c r="G14" s="307">
        <f t="shared" ca="1" si="1"/>
        <v>23</v>
      </c>
      <c r="H14" s="250"/>
      <c r="I14" s="320"/>
      <c r="J14" s="291" t="s">
        <v>80</v>
      </c>
      <c r="K14" s="320"/>
      <c r="L14" s="291">
        <f>SUM(L8:L13)</f>
        <v>47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18.957446808510639</v>
      </c>
      <c r="Z14" s="261"/>
      <c r="AA14" s="465">
        <f ca="1">SUM(AA8:AA13)</f>
        <v>47</v>
      </c>
      <c r="AE14" s="254"/>
      <c r="AF14" s="236">
        <f t="shared" si="2"/>
        <v>1</v>
      </c>
      <c r="AG14" s="236">
        <f t="shared" ca="1" si="3"/>
        <v>1</v>
      </c>
      <c r="AH14" s="236" t="str">
        <f t="shared" ca="1" si="18"/>
        <v/>
      </c>
      <c r="AJ14" s="236">
        <f t="shared" ca="1" si="19"/>
        <v>38</v>
      </c>
      <c r="AK14" s="236" t="str">
        <f t="shared" ca="1" si="20"/>
        <v>BBB+</v>
      </c>
      <c r="AL14" s="236">
        <f t="shared" ca="1" si="20"/>
        <v>19</v>
      </c>
      <c r="AM14" s="236" t="str">
        <f t="shared" ca="1" si="4"/>
        <v>Change</v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31</v>
      </c>
      <c r="AW14" s="234">
        <f>COUNTIF( AV$7:AV14, AV14 )</f>
        <v>2</v>
      </c>
      <c r="AX14" s="287">
        <f t="shared" si="22"/>
        <v>31.2</v>
      </c>
      <c r="AY14" s="234">
        <f t="shared" si="23"/>
        <v>32</v>
      </c>
      <c r="AZ14" s="236"/>
      <c r="BA14" s="236"/>
      <c r="BC14" s="234">
        <f t="shared" ca="1" si="24"/>
        <v>8</v>
      </c>
      <c r="BD14" s="288">
        <f t="shared" ca="1" si="6"/>
        <v>20</v>
      </c>
      <c r="BF14" s="240" t="str">
        <f t="shared" ca="1" si="7"/>
        <v>Evergy,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EVRG</v>
      </c>
    </row>
    <row r="15" spans="1:61" ht="13.8" x14ac:dyDescent="0.25">
      <c r="A15" s="303" t="s">
        <v>369</v>
      </c>
      <c r="B15" s="304" t="s">
        <v>10</v>
      </c>
      <c r="C15" s="304">
        <v>20</v>
      </c>
      <c r="D15" s="304" t="s">
        <v>368</v>
      </c>
      <c r="E15" s="305" t="str">
        <f t="shared" ca="1" si="8"/>
        <v>MR</v>
      </c>
      <c r="F15" s="306"/>
      <c r="G15" s="307">
        <f t="shared" ca="1" si="1"/>
        <v>31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28</v>
      </c>
      <c r="BF15" s="240" t="str">
        <f t="shared" ca="1" si="7"/>
        <v>NextEra Energy, Inc.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NEE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19.021276595744681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18.882352941176471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19.384615384615383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42</v>
      </c>
      <c r="AW16" s="234">
        <f>COUNTIF( AV$7:AV16, AV16 )</f>
        <v>1</v>
      </c>
      <c r="AX16" s="287">
        <f t="shared" si="22"/>
        <v>42.1</v>
      </c>
      <c r="AY16" s="234">
        <f t="shared" si="23"/>
        <v>42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42</v>
      </c>
      <c r="AW20" s="234">
        <f>COUNTIF( AV$7:AV20, AV20 )</f>
        <v>2</v>
      </c>
      <c r="AX20" s="287">
        <f t="shared" si="22"/>
        <v>42.2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46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31</v>
      </c>
      <c r="AW24" s="234">
        <f>COUNTIF( AV$7:AV24, AV24 )</f>
        <v>3</v>
      </c>
      <c r="AX24" s="287">
        <f t="shared" si="22"/>
        <v>31.3</v>
      </c>
      <c r="AY24" s="234">
        <f t="shared" si="23"/>
        <v>33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9" t="s">
        <v>566</v>
      </c>
      <c r="AV26" s="234">
        <f t="shared" si="21"/>
        <v>3</v>
      </c>
      <c r="AW26" s="234">
        <f>COUNTIF( AV$7:AV26, AV26 )</f>
        <v>6</v>
      </c>
      <c r="AX26" s="287">
        <f t="shared" si="22"/>
        <v>3.6</v>
      </c>
      <c r="AY26" s="234">
        <f t="shared" si="23"/>
        <v>8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31</v>
      </c>
      <c r="AW28" s="234">
        <f>COUNTIF( AV$7:AV28, AV28 )</f>
        <v>4</v>
      </c>
      <c r="AX28" s="287">
        <f t="shared" si="22"/>
        <v>31.4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42</v>
      </c>
      <c r="AW29" s="234">
        <f>COUNTIF( AV$7:AV29, AV29 )</f>
        <v>3</v>
      </c>
      <c r="AX29" s="287">
        <f t="shared" si="22"/>
        <v>42.3</v>
      </c>
      <c r="AY29" s="234">
        <f t="shared" si="23"/>
        <v>44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42</v>
      </c>
      <c r="AW30" s="234">
        <f>COUNTIF( AV$7:AV30, AV30 )</f>
        <v>4</v>
      </c>
      <c r="AX30" s="287">
        <f t="shared" si="22"/>
        <v>42.4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31</v>
      </c>
      <c r="AW31" s="234">
        <f>COUNTIF( AV$7:AV31, AV31 )</f>
        <v>5</v>
      </c>
      <c r="AX31" s="287">
        <f t="shared" si="22"/>
        <v>31.5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>
        <f t="shared" ca="1" si="18"/>
        <v>1</v>
      </c>
      <c r="AJ32" s="236">
        <f t="shared" ca="1" si="19"/>
        <v>15</v>
      </c>
      <c r="AK32" s="236" t="str">
        <f t="shared" ca="1" si="20"/>
        <v>A-</v>
      </c>
      <c r="AL32" s="236">
        <f t="shared" ca="1" si="20"/>
        <v>20</v>
      </c>
      <c r="AM32" s="236" t="str">
        <f t="shared" ca="1" si="4"/>
        <v>Change</v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31</v>
      </c>
      <c r="AW32" s="234">
        <f>COUNTIF( AV$7:AV32, AV32 )</f>
        <v>6</v>
      </c>
      <c r="AX32" s="287">
        <f t="shared" si="22"/>
        <v>31.6</v>
      </c>
      <c r="AY32" s="234">
        <f t="shared" si="23"/>
        <v>36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9</v>
      </c>
      <c r="AX33" s="287">
        <f t="shared" si="22"/>
        <v>16.899999999999999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45</v>
      </c>
      <c r="B34" s="304" t="s">
        <v>16</v>
      </c>
      <c r="C34" s="304">
        <v>19</v>
      </c>
      <c r="D34" s="304" t="s">
        <v>318</v>
      </c>
      <c r="E34" s="305" t="str">
        <f t="shared" ca="1" si="8"/>
        <v>MR</v>
      </c>
      <c r="F34" s="306"/>
      <c r="G34" s="307">
        <f t="shared" ca="1" si="1"/>
        <v>41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7</v>
      </c>
      <c r="AX34" s="287">
        <f t="shared" si="22"/>
        <v>3.7</v>
      </c>
      <c r="AY34" s="234">
        <f t="shared" si="23"/>
        <v>9</v>
      </c>
      <c r="AZ34" s="236"/>
      <c r="BA34" s="236"/>
      <c r="BC34" s="234">
        <f t="shared" ca="1" si="24"/>
        <v>28</v>
      </c>
      <c r="BD34" s="288">
        <f t="shared" ca="1" si="6"/>
        <v>38</v>
      </c>
      <c r="BF34" s="240" t="str">
        <f t="shared" ca="1" si="7"/>
        <v>Public Service Enterprise Group Incorporated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PEG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10</v>
      </c>
      <c r="AX35" s="287">
        <f t="shared" si="22"/>
        <v>17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41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45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31</v>
      </c>
      <c r="AW36" s="234">
        <f>COUNTIF( AV$7:AV36, AV36 )</f>
        <v>7</v>
      </c>
      <c r="AX36" s="287">
        <f t="shared" si="22"/>
        <v>31.7</v>
      </c>
      <c r="AY36" s="234">
        <f t="shared" si="23"/>
        <v>37</v>
      </c>
      <c r="AZ36" s="236"/>
      <c r="BA36" s="236"/>
      <c r="BC36" s="234">
        <f t="shared" ca="1" si="24"/>
        <v>30</v>
      </c>
      <c r="BD36" s="288">
        <f t="shared" ca="1" si="6"/>
        <v>43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UTL</v>
      </c>
    </row>
    <row r="37" spans="1:61" ht="13.8" x14ac:dyDescent="0.25">
      <c r="A37" s="303" t="s">
        <v>55</v>
      </c>
      <c r="B37" s="304" t="s">
        <v>28</v>
      </c>
      <c r="C37" s="304">
        <v>18</v>
      </c>
      <c r="D37" s="304" t="s">
        <v>277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39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16</v>
      </c>
      <c r="AW37" s="234">
        <f>COUNTIF( AV$7:AV37, AV37 )</f>
        <v>11</v>
      </c>
      <c r="AX37" s="287">
        <f t="shared" si="22"/>
        <v>17.100000000000001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6</v>
      </c>
      <c r="BF37" s="240" t="str">
        <f t="shared" ca="1" si="7"/>
        <v>Avista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AVA</v>
      </c>
    </row>
    <row r="38" spans="1:61" ht="13.8" x14ac:dyDescent="0.25">
      <c r="A38" s="303" t="s">
        <v>48</v>
      </c>
      <c r="B38" s="304" t="s">
        <v>28</v>
      </c>
      <c r="C38" s="304">
        <v>18</v>
      </c>
      <c r="D38" s="304" t="s">
        <v>279</v>
      </c>
      <c r="E38" s="305" t="str">
        <f t="shared" ca="1" si="8"/>
        <v>R</v>
      </c>
      <c r="F38" s="306"/>
      <c r="G38" s="307">
        <f t="shared" ca="1" si="1"/>
        <v>13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40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31</v>
      </c>
      <c r="AW38" s="234">
        <f>COUNTIF( AV$7:AV38, AV38 )</f>
        <v>8</v>
      </c>
      <c r="AX38" s="287">
        <f t="shared" si="22"/>
        <v>31.8</v>
      </c>
      <c r="AY38" s="234">
        <f t="shared" si="23"/>
        <v>38</v>
      </c>
      <c r="AZ38" s="236"/>
      <c r="BA38" s="236"/>
      <c r="BC38" s="234">
        <f t="shared" ca="1" si="24"/>
        <v>32</v>
      </c>
      <c r="BD38" s="288">
        <f t="shared" ca="1" si="6"/>
        <v>8</v>
      </c>
      <c r="BF38" s="240" t="str">
        <f t="shared" ca="1" si="7"/>
        <v>Black Hills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BKH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41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28</v>
      </c>
      <c r="AS39" s="286">
        <v>18</v>
      </c>
      <c r="AT39" s="286" t="s">
        <v>317</v>
      </c>
      <c r="AV39" s="234">
        <f t="shared" si="21"/>
        <v>31</v>
      </c>
      <c r="AW39" s="234">
        <f>COUNTIF( AV$7:AV39, AV39 )</f>
        <v>9</v>
      </c>
      <c r="AX39" s="287">
        <f t="shared" si="22"/>
        <v>31.9</v>
      </c>
      <c r="AY39" s="234">
        <f t="shared" si="23"/>
        <v>39</v>
      </c>
      <c r="AZ39" s="236"/>
      <c r="BA39" s="236"/>
      <c r="BC39" s="234">
        <f t="shared" ca="1" si="24"/>
        <v>33</v>
      </c>
      <c r="BD39" s="288">
        <f t="shared" ca="1" si="6"/>
        <v>18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11</v>
      </c>
      <c r="B40" s="304" t="s">
        <v>28</v>
      </c>
      <c r="C40" s="304">
        <v>18</v>
      </c>
      <c r="D40" s="304" t="s">
        <v>297</v>
      </c>
      <c r="E40" s="305" t="str">
        <f t="shared" ca="1" si="8"/>
        <v>MR</v>
      </c>
      <c r="F40" s="306"/>
      <c r="G40" s="307">
        <f t="shared" ca="1" si="1"/>
        <v>25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42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22</v>
      </c>
      <c r="BF40" s="240" t="str">
        <f t="shared" ca="1" si="25"/>
        <v>Exelon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EXC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8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43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12</v>
      </c>
      <c r="AX41" s="287">
        <f t="shared" si="22"/>
        <v>17.2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25</v>
      </c>
      <c r="BF41" s="240" t="str">
        <f t="shared" ca="1" si="25"/>
        <v>IDACORP, Inc.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IDA</v>
      </c>
    </row>
    <row r="42" spans="1:61" ht="13.8" x14ac:dyDescent="0.25">
      <c r="A42" s="303" t="s">
        <v>58</v>
      </c>
      <c r="B42" s="304" t="s">
        <v>28</v>
      </c>
      <c r="C42" s="304">
        <v>18</v>
      </c>
      <c r="D42" s="304" t="s">
        <v>445</v>
      </c>
      <c r="E42" s="305" t="str">
        <f t="shared" ca="1" si="8"/>
        <v>R</v>
      </c>
      <c r="F42" s="306"/>
      <c r="G42" s="307">
        <f t="shared" ca="1" si="1"/>
        <v>55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44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31</v>
      </c>
      <c r="AW42" s="234">
        <f>COUNTIF( AV$7:AV42, AV42 )</f>
        <v>10</v>
      </c>
      <c r="AX42" s="287">
        <f t="shared" si="22"/>
        <v>32</v>
      </c>
      <c r="AY42" s="234">
        <f t="shared" si="23"/>
        <v>40</v>
      </c>
      <c r="AZ42" s="236"/>
      <c r="BA42" s="236"/>
      <c r="BC42" s="234">
        <f t="shared" ca="1" si="24"/>
        <v>36</v>
      </c>
      <c r="BD42" s="288">
        <f t="shared" ca="1" si="6"/>
        <v>26</v>
      </c>
      <c r="BF42" s="240" t="str">
        <f t="shared" ca="1" si="25"/>
        <v>IPALCO Enterprises,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**IPALCO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8"/>
        <v>R</v>
      </c>
      <c r="F43" s="306"/>
      <c r="G43" s="307">
        <f t="shared" ca="1" si="1"/>
        <v>33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45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30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8"/>
        <v>R</v>
      </c>
      <c r="F44" s="306"/>
      <c r="G44" s="307">
        <f t="shared" ca="1" si="1"/>
        <v>35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46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13</v>
      </c>
      <c r="AX44" s="287">
        <f t="shared" si="22"/>
        <v>17.3</v>
      </c>
      <c r="AY44" s="234">
        <f t="shared" si="23"/>
        <v>28</v>
      </c>
      <c r="AZ44" s="236"/>
      <c r="BA44" s="236"/>
      <c r="BC44" s="234">
        <f t="shared" ca="1" si="24"/>
        <v>38</v>
      </c>
      <c r="BD44" s="288">
        <f t="shared" ca="1" si="6"/>
        <v>32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8"/>
        <v>R</v>
      </c>
      <c r="F45" s="306"/>
      <c r="G45" s="307">
        <f t="shared" ca="1" si="1"/>
        <v>36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>
        <f t="shared" ca="1" si="18"/>
        <v>1</v>
      </c>
      <c r="AJ45" s="236">
        <f t="shared" ca="1" si="19"/>
        <v>33</v>
      </c>
      <c r="AK45" s="236" t="str">
        <f t="shared" ca="1" si="20"/>
        <v>BBB+</v>
      </c>
      <c r="AL45" s="236">
        <f t="shared" ca="1" si="20"/>
        <v>19</v>
      </c>
      <c r="AM45" s="236" t="str">
        <f t="shared" ca="1" si="4"/>
        <v>Change</v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42</v>
      </c>
      <c r="AW45" s="234">
        <f>COUNTIF( AV$7:AV45, AV45 )</f>
        <v>5</v>
      </c>
      <c r="AX45" s="287">
        <f t="shared" si="22"/>
        <v>42.5</v>
      </c>
      <c r="AY45" s="234">
        <f t="shared" si="23"/>
        <v>46</v>
      </c>
      <c r="AZ45" s="236"/>
      <c r="BA45" s="236"/>
      <c r="BC45" s="234">
        <f t="shared" ca="1" si="24"/>
        <v>39</v>
      </c>
      <c r="BD45" s="288">
        <f t="shared" ca="1" si="6"/>
        <v>33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8"/>
        <v>R</v>
      </c>
      <c r="F46" s="306"/>
      <c r="G46" s="307">
        <f t="shared" ca="1" si="1"/>
        <v>39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31</v>
      </c>
      <c r="AW46" s="234">
        <f>COUNTIF( AV$7:AV46, AV46 )</f>
        <v>11</v>
      </c>
      <c r="AX46" s="287">
        <f t="shared" si="22"/>
        <v>32.1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6"/>
        <v>36</v>
      </c>
      <c r="BF46" s="240" t="str">
        <f t="shared" ca="1" si="25"/>
        <v>Portland General Electric Company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POR</v>
      </c>
    </row>
    <row r="47" spans="1:61" ht="13.8" x14ac:dyDescent="0.25">
      <c r="A47" s="303" t="s">
        <v>13</v>
      </c>
      <c r="B47" s="304" t="s">
        <v>28</v>
      </c>
      <c r="C47" s="304">
        <v>18</v>
      </c>
      <c r="D47" s="304" t="s">
        <v>326</v>
      </c>
      <c r="E47" s="305" t="str">
        <f t="shared" ca="1" si="8"/>
        <v>R</v>
      </c>
      <c r="F47" s="306"/>
      <c r="G47" s="307">
        <f t="shared" ca="1" si="1"/>
        <v>42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14</v>
      </c>
      <c r="AX47" s="287">
        <f t="shared" si="22"/>
        <v>17.399999999999999</v>
      </c>
      <c r="AY47" s="234">
        <f t="shared" si="23"/>
        <v>29</v>
      </c>
      <c r="AZ47" s="236"/>
      <c r="BA47" s="236"/>
      <c r="BC47" s="234">
        <f t="shared" ca="1" si="24"/>
        <v>41</v>
      </c>
      <c r="BD47" s="288">
        <f t="shared" ca="1" si="6"/>
        <v>40</v>
      </c>
      <c r="BF47" s="240" t="str">
        <f t="shared" ca="1" si="25"/>
        <v>SCANA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SCG</v>
      </c>
    </row>
    <row r="48" spans="1:61" ht="13.8" x14ac:dyDescent="0.25">
      <c r="A48" s="303" t="s">
        <v>30</v>
      </c>
      <c r="B48" s="304" t="s">
        <v>49</v>
      </c>
      <c r="C48" s="304">
        <v>17</v>
      </c>
      <c r="D48" s="304" t="s">
        <v>540</v>
      </c>
      <c r="E48" s="305" t="str">
        <f t="shared" ca="1" si="8"/>
        <v>R</v>
      </c>
      <c r="F48" s="306"/>
      <c r="G48" s="307">
        <f t="shared" ca="1" si="1"/>
        <v>53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10</v>
      </c>
      <c r="BF48" s="240" t="str">
        <f t="shared" ca="1" si="25"/>
        <v>Cleco Corporation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**CNL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15</v>
      </c>
      <c r="AX49" s="287">
        <f t="shared" si="22"/>
        <v>17.5</v>
      </c>
      <c r="AY49" s="234">
        <f t="shared" si="23"/>
        <v>30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**DPL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23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26</v>
      </c>
      <c r="AR51" s="286" t="s">
        <v>10</v>
      </c>
      <c r="AS51" s="286">
        <v>20</v>
      </c>
      <c r="AT51" s="286" t="s">
        <v>335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54</v>
      </c>
      <c r="B52" s="304" t="s">
        <v>49</v>
      </c>
      <c r="C52" s="304">
        <v>17</v>
      </c>
      <c r="D52" s="304" t="s">
        <v>448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257</v>
      </c>
      <c r="AR52" s="286" t="s">
        <v>10</v>
      </c>
      <c r="AS52" s="286">
        <v>20</v>
      </c>
      <c r="AT52" s="286" t="s">
        <v>337</v>
      </c>
      <c r="AV52" s="234">
        <f t="shared" si="21"/>
        <v>3</v>
      </c>
      <c r="AW52" s="234">
        <f>COUNTIF( AV$7:AV52, AV52 )</f>
        <v>13</v>
      </c>
      <c r="AX52" s="287">
        <f t="shared" si="22"/>
        <v>4.3</v>
      </c>
      <c r="AY52" s="234">
        <f t="shared" si="23"/>
        <v>15</v>
      </c>
      <c r="AZ52" s="236"/>
      <c r="BA52" s="236"/>
      <c r="BC52" s="234">
        <f t="shared" ca="1" si="24"/>
        <v>46</v>
      </c>
      <c r="BD52" s="288">
        <f t="shared" ca="1" si="6"/>
        <v>39</v>
      </c>
      <c r="BF52" s="240" t="str">
        <f t="shared" ca="1" si="25"/>
        <v>Puget Energy,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**PSD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1</v>
      </c>
      <c r="AX53" s="287">
        <f t="shared" si="22"/>
        <v>99.1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2</v>
      </c>
      <c r="AX54" s="287">
        <f t="shared" si="22"/>
        <v>99.2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3</v>
      </c>
      <c r="AX55" s="287">
        <f t="shared" si="22"/>
        <v>99.3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4</v>
      </c>
      <c r="AX56" s="287">
        <f t="shared" si="22"/>
        <v>99.4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5</v>
      </c>
      <c r="AX57" s="287">
        <f t="shared" si="22"/>
        <v>99.5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6</v>
      </c>
      <c r="AX58" s="287">
        <f t="shared" si="22"/>
        <v>99.6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7</v>
      </c>
      <c r="AX59" s="287">
        <f t="shared" si="22"/>
        <v>99.7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8</v>
      </c>
      <c r="AX60" s="287">
        <f t="shared" si="22"/>
        <v>99.8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9</v>
      </c>
      <c r="AX61" s="287">
        <f t="shared" si="22"/>
        <v>99.9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10</v>
      </c>
      <c r="AX62" s="287">
        <f t="shared" si="22"/>
        <v>100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11</v>
      </c>
      <c r="AX63" s="287">
        <f t="shared" si="22"/>
        <v>100.1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19.021276595744681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18.957446808510639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-- 2018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Reg_Percent_2017</v>
      </c>
      <c r="G2" s="239" t="s">
        <v>567</v>
      </c>
      <c r="AJ2" s="240" t="str">
        <f>AJ4 &amp; AJ3</f>
        <v>'Credit_2017Q4'!d:d</v>
      </c>
      <c r="AK2" s="240" t="str">
        <f>AK4 &amp; AK3</f>
        <v>'Credit_2017Q4'!b1</v>
      </c>
      <c r="AL2" s="240" t="str">
        <f>AL4 &amp; AL3</f>
        <v>'Credit_2017Q4'!c1</v>
      </c>
      <c r="AQ2" s="236"/>
    </row>
    <row r="3" spans="1:61" ht="18" hidden="1" outlineLevel="1" x14ac:dyDescent="0.25">
      <c r="A3" s="233"/>
      <c r="E3" s="241" t="str">
        <f>"'" &amp; E2 &amp; "'!"</f>
        <v>'Reg_Percent_2017'!</v>
      </c>
      <c r="G3" s="234" t="str">
        <f>"'" &amp; G2 &amp; "'!"</f>
        <v>'Reg_Percent_2017'!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'Credit_2017Q4'!</v>
      </c>
      <c r="AK4" s="236" t="str">
        <f t="shared" ref="AK4:AL4" si="0">$AQ$5</f>
        <v>'Credit_2017Q4'!</v>
      </c>
      <c r="AL4" s="236" t="str">
        <f t="shared" si="0"/>
        <v>'Credit_2017Q4'!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(48)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564</v>
      </c>
    </row>
    <row r="6" spans="1:61" ht="28.5" customHeight="1" x14ac:dyDescent="0.25">
      <c r="A6" s="299" t="s">
        <v>0</v>
      </c>
      <c r="B6" s="300" t="s">
        <v>568</v>
      </c>
      <c r="C6" s="338" t="s">
        <v>470</v>
      </c>
      <c r="D6" s="301"/>
      <c r="E6" s="302">
        <f ca="1">INDIRECT( E3 &amp; G1 )</f>
        <v>43100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6.25E-2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2</v>
      </c>
      <c r="S8" s="294">
        <f t="shared" ref="S8:S13" ca="1" si="14">IF( R8 = 0, "", R8/R$14 )</f>
        <v>0.15384615384615385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0.27083333333333331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0.15384615384615385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0.35416666666666669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0.53846153846153844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10</v>
      </c>
      <c r="M11" s="296">
        <f t="shared" si="10"/>
        <v>0.20833333333333334</v>
      </c>
      <c r="N11" s="318"/>
      <c r="O11" s="295">
        <f t="shared" ca="1" si="11"/>
        <v>9</v>
      </c>
      <c r="P11" s="296">
        <f t="shared" ca="1" si="12"/>
        <v>0.25714285714285712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10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0.10416666666666667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1</v>
      </c>
      <c r="AX12" s="287">
        <f t="shared" si="22"/>
        <v>33.1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0</v>
      </c>
      <c r="M13" s="298" t="str">
        <f t="shared" si="10"/>
        <v/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0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48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18.979166666666668</v>
      </c>
      <c r="Z14" s="261"/>
      <c r="AA14" s="464">
        <f ca="1">SUM(AA8:AA13)</f>
        <v>48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2</v>
      </c>
      <c r="AX14" s="287">
        <f t="shared" si="22"/>
        <v>33.200000000000003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34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19.041666666666668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18.914285714285715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19.384615384615383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40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18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37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19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42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20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21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43</v>
      </c>
      <c r="AW20" s="234">
        <f>COUNTIF( AV$7:AV20, AV20 )</f>
        <v>2</v>
      </c>
      <c r="AX20" s="287">
        <f t="shared" si="22"/>
        <v>43.2</v>
      </c>
      <c r="AY20" s="234">
        <f t="shared" si="23"/>
        <v>44</v>
      </c>
      <c r="AZ20" s="236"/>
      <c r="BA20" s="236"/>
      <c r="BC20" s="234">
        <f t="shared" ca="1" si="24"/>
        <v>14</v>
      </c>
      <c r="BD20" s="288">
        <f t="shared" ca="1" si="6"/>
        <v>46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9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3</v>
      </c>
      <c r="AX24" s="287">
        <f t="shared" si="22"/>
        <v>33.299999999999997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33</v>
      </c>
      <c r="AW27" s="234">
        <f>COUNTIF( AV$7:AV27, AV27 )</f>
        <v>4</v>
      </c>
      <c r="AX27" s="287">
        <f t="shared" si="22"/>
        <v>33.4</v>
      </c>
      <c r="AY27" s="234">
        <f t="shared" si="23"/>
        <v>36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3</v>
      </c>
      <c r="AX28" s="287">
        <f t="shared" si="22"/>
        <v>43.3</v>
      </c>
      <c r="AY28" s="234">
        <f t="shared" si="23"/>
        <v>45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50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31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4</v>
      </c>
      <c r="AX30" s="287">
        <f t="shared" si="22"/>
        <v>43.4</v>
      </c>
      <c r="AY30" s="234">
        <f t="shared" si="23"/>
        <v>46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29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33</v>
      </c>
      <c r="AW31" s="234">
        <f>COUNTIF( AV$7:AV31, AV31 )</f>
        <v>5</v>
      </c>
      <c r="AX31" s="287">
        <f t="shared" si="22"/>
        <v>33.5</v>
      </c>
      <c r="AY31" s="234">
        <f t="shared" si="23"/>
        <v>37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32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33</v>
      </c>
      <c r="AW32" s="234">
        <f>COUNTIF( AV$7:AV32, AV32 )</f>
        <v>6</v>
      </c>
      <c r="AX32" s="287">
        <f t="shared" si="22"/>
        <v>33.6</v>
      </c>
      <c r="AY32" s="234">
        <f t="shared" si="23"/>
        <v>38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8"/>
        <v>1</v>
      </c>
      <c r="AJ33" s="236">
        <f t="shared" ca="1" si="19"/>
        <v>16</v>
      </c>
      <c r="AK33" s="236" t="str">
        <f t="shared" ca="1" si="20"/>
        <v>A-</v>
      </c>
      <c r="AL33" s="236">
        <f t="shared" ca="1" si="20"/>
        <v>20</v>
      </c>
      <c r="AM33" s="236" t="str">
        <f t="shared" ca="1" si="4"/>
        <v>Change</v>
      </c>
      <c r="AQ33" s="286" t="s">
        <v>12</v>
      </c>
      <c r="AR33" s="286" t="s">
        <v>16</v>
      </c>
      <c r="AS33" s="286">
        <v>19</v>
      </c>
      <c r="AT33" s="289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33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38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35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33</v>
      </c>
      <c r="AW36" s="234">
        <f>COUNTIF( AV$7:AV36, AV36 )</f>
        <v>7</v>
      </c>
      <c r="AX36" s="287">
        <f t="shared" si="22"/>
        <v>33.700000000000003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43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478" t="s">
        <v>59</v>
      </c>
      <c r="B38" s="479" t="s">
        <v>16</v>
      </c>
      <c r="C38" s="479">
        <v>19</v>
      </c>
      <c r="D38" s="443" t="s">
        <v>566</v>
      </c>
      <c r="E38" s="480" t="str">
        <f t="shared" ca="1" si="8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>
        <f t="shared" ca="1" si="18"/>
        <v>1</v>
      </c>
      <c r="AJ38" s="236" t="e">
        <f t="shared" ca="1" si="19"/>
        <v>#N/A</v>
      </c>
      <c r="AK38" s="236" t="str">
        <f t="shared" ca="1" si="20"/>
        <v/>
      </c>
      <c r="AL38" s="236" t="str">
        <f t="shared" ca="1" si="20"/>
        <v/>
      </c>
      <c r="AM38" s="236" t="str">
        <f t="shared" ca="1" si="4"/>
        <v>Change</v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33</v>
      </c>
      <c r="AW38" s="234">
        <f>COUNTIF( AV$7:AV38, AV38 )</f>
        <v>8</v>
      </c>
      <c r="AX38" s="287">
        <f t="shared" si="22"/>
        <v>33.799999999999997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45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16</v>
      </c>
      <c r="AS39" s="286">
        <v>19</v>
      </c>
      <c r="AT39" s="286" t="s">
        <v>317</v>
      </c>
      <c r="AV39" s="234">
        <f t="shared" si="21"/>
        <v>16</v>
      </c>
      <c r="AW39" s="234">
        <f>COUNTIF( AV$7:AV39, AV39 )</f>
        <v>12</v>
      </c>
      <c r="AX39" s="287">
        <f t="shared" si="22"/>
        <v>17.2</v>
      </c>
      <c r="AY39" s="234">
        <f t="shared" si="23"/>
        <v>27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16</v>
      </c>
      <c r="AW41" s="234">
        <f>COUNTIF( AV$7:AV41, AV41 )</f>
        <v>13</v>
      </c>
      <c r="AX41" s="287">
        <f t="shared" si="22"/>
        <v>17.3</v>
      </c>
      <c r="AY41" s="234">
        <f t="shared" si="23"/>
        <v>28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28</v>
      </c>
      <c r="AS42" s="286">
        <v>18</v>
      </c>
      <c r="AT42" s="286" t="s">
        <v>323</v>
      </c>
      <c r="AV42" s="234">
        <f t="shared" si="21"/>
        <v>33</v>
      </c>
      <c r="AW42" s="234">
        <f>COUNTIF( AV$7:AV42, AV42 )</f>
        <v>9</v>
      </c>
      <c r="AX42" s="287">
        <f t="shared" si="22"/>
        <v>33.9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21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20</v>
      </c>
      <c r="B43" s="304" t="s">
        <v>28</v>
      </c>
      <c r="C43" s="304">
        <v>18</v>
      </c>
      <c r="D43" s="304" t="s">
        <v>302</v>
      </c>
      <c r="E43" s="305" t="str">
        <f t="shared" ca="1" si="8"/>
        <v>R</v>
      </c>
      <c r="F43" s="306"/>
      <c r="G43" s="307">
        <f t="shared" ca="1" si="1"/>
        <v>28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9</v>
      </c>
      <c r="AX43" s="287">
        <f t="shared" si="22"/>
        <v>3.9</v>
      </c>
      <c r="AY43" s="234">
        <f t="shared" si="23"/>
        <v>11</v>
      </c>
      <c r="AZ43" s="236"/>
      <c r="BA43" s="236"/>
      <c r="BC43" s="234">
        <f t="shared" ca="1" si="24"/>
        <v>37</v>
      </c>
      <c r="BD43" s="288">
        <f t="shared" ca="1" si="6"/>
        <v>25</v>
      </c>
      <c r="BF43" s="240" t="str">
        <f t="shared" ca="1" si="25"/>
        <v>IDACORP,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IDA</v>
      </c>
    </row>
    <row r="44" spans="1:61" ht="13.8" x14ac:dyDescent="0.25">
      <c r="A44" s="303" t="s">
        <v>58</v>
      </c>
      <c r="B44" s="304" t="s">
        <v>28</v>
      </c>
      <c r="C44" s="304">
        <v>18</v>
      </c>
      <c r="D44" s="304" t="s">
        <v>445</v>
      </c>
      <c r="E44" s="305" t="str">
        <f t="shared" ca="1" si="8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>
        <f t="shared" ca="1" si="3"/>
        <v>1</v>
      </c>
      <c r="AH44" s="236" t="str">
        <f t="shared" ca="1" si="18"/>
        <v/>
      </c>
      <c r="AJ44" s="236">
        <f t="shared" ca="1" si="19"/>
        <v>52</v>
      </c>
      <c r="AK44" s="236" t="str">
        <f t="shared" ca="1" si="20"/>
        <v>BBB-</v>
      </c>
      <c r="AL44" s="236">
        <f t="shared" ca="1" si="20"/>
        <v>17</v>
      </c>
      <c r="AM44" s="236" t="str">
        <f t="shared" ca="1" si="4"/>
        <v>Change</v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16</v>
      </c>
      <c r="AW44" s="234">
        <f>COUNTIF( AV$7:AV44, AV44 )</f>
        <v>14</v>
      </c>
      <c r="AX44" s="287">
        <f t="shared" si="22"/>
        <v>17.399999999999999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26</v>
      </c>
      <c r="BF44" s="240" t="str">
        <f t="shared" ca="1" si="25"/>
        <v>IPALCO Enterprises,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**IPALCO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43</v>
      </c>
      <c r="AW45" s="234">
        <f>COUNTIF( AV$7:AV45, AV45 )</f>
        <v>5</v>
      </c>
      <c r="AX45" s="287">
        <f t="shared" si="22"/>
        <v>43.5</v>
      </c>
      <c r="AY45" s="234">
        <f t="shared" si="23"/>
        <v>47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13</v>
      </c>
      <c r="AR46" s="286" t="s">
        <v>28</v>
      </c>
      <c r="AS46" s="286">
        <v>18</v>
      </c>
      <c r="AT46" s="286" t="s">
        <v>326</v>
      </c>
      <c r="AV46" s="234">
        <f t="shared" si="21"/>
        <v>33</v>
      </c>
      <c r="AW46" s="234">
        <f>COUNTIF( AV$7:AV46, AV46 )</f>
        <v>10</v>
      </c>
      <c r="AX46" s="287">
        <f t="shared" si="22"/>
        <v>34</v>
      </c>
      <c r="AY46" s="234">
        <f t="shared" si="23"/>
        <v>42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25</v>
      </c>
      <c r="AR47" s="286" t="s">
        <v>16</v>
      </c>
      <c r="AS47" s="286">
        <v>19</v>
      </c>
      <c r="AT47" s="286" t="s">
        <v>328</v>
      </c>
      <c r="AV47" s="234">
        <f t="shared" si="21"/>
        <v>16</v>
      </c>
      <c r="AW47" s="234">
        <f>COUNTIF( AV$7:AV47, AV47 )</f>
        <v>15</v>
      </c>
      <c r="AX47" s="287">
        <f t="shared" si="22"/>
        <v>17.5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R</v>
      </c>
      <c r="F48" s="306"/>
      <c r="G48" s="307">
        <f t="shared" ca="1" si="1"/>
        <v>42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7</v>
      </c>
      <c r="AR48" s="286" t="s">
        <v>10</v>
      </c>
      <c r="AS48" s="286">
        <v>20</v>
      </c>
      <c r="AT48" s="286" t="s">
        <v>327</v>
      </c>
      <c r="AV48" s="234">
        <f t="shared" si="21"/>
        <v>3</v>
      </c>
      <c r="AW48" s="234">
        <f>COUNTIF( AV$7:AV48, AV48 )</f>
        <v>10</v>
      </c>
      <c r="AX48" s="287">
        <f t="shared" si="22"/>
        <v>4</v>
      </c>
      <c r="AY48" s="234">
        <f t="shared" si="23"/>
        <v>12</v>
      </c>
      <c r="AZ48" s="236"/>
      <c r="BA48" s="236"/>
      <c r="BC48" s="234">
        <f t="shared" ca="1" si="24"/>
        <v>42</v>
      </c>
      <c r="BD48" s="288">
        <f t="shared" ca="1" si="6"/>
        <v>40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53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76</v>
      </c>
      <c r="AR49" s="286" t="s">
        <v>16</v>
      </c>
      <c r="AS49" s="286">
        <v>19</v>
      </c>
      <c r="AT49" s="286" t="s">
        <v>333</v>
      </c>
      <c r="AV49" s="234">
        <f t="shared" si="21"/>
        <v>16</v>
      </c>
      <c r="AW49" s="234">
        <f>COUNTIF( AV$7:AV49, AV49 )</f>
        <v>16</v>
      </c>
      <c r="AX49" s="287">
        <f t="shared" si="22"/>
        <v>17.600000000000001</v>
      </c>
      <c r="AY49" s="234">
        <f t="shared" si="23"/>
        <v>31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8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>
        <f t="shared" ca="1" si="3"/>
        <v>1</v>
      </c>
      <c r="AH50" s="236" t="str">
        <f t="shared" ca="1" si="18"/>
        <v/>
      </c>
      <c r="AJ50" s="236">
        <f t="shared" ca="1" si="19"/>
        <v>54</v>
      </c>
      <c r="AK50" s="236" t="str">
        <f t="shared" ca="1" si="20"/>
        <v>BB</v>
      </c>
      <c r="AL50" s="236">
        <f t="shared" ca="1" si="20"/>
        <v>15</v>
      </c>
      <c r="AM50" s="236" t="str">
        <f t="shared" ca="1" si="4"/>
        <v>Change</v>
      </c>
      <c r="AQ50" s="286" t="s">
        <v>14</v>
      </c>
      <c r="AR50" s="286" t="s">
        <v>10</v>
      </c>
      <c r="AS50" s="286">
        <v>20</v>
      </c>
      <c r="AT50" s="286" t="s">
        <v>334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14</v>
      </c>
      <c r="BF50" s="240" t="str">
        <f t="shared" ca="1" si="25"/>
        <v>DPL Inc.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**DPL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R</v>
      </c>
      <c r="F51" s="306"/>
      <c r="G51" s="307">
        <f t="shared" ca="1" si="1"/>
        <v>26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59</v>
      </c>
      <c r="AR51" s="286" t="s">
        <v>16</v>
      </c>
      <c r="AS51" s="286">
        <v>19</v>
      </c>
      <c r="AT51" s="286" t="s">
        <v>336</v>
      </c>
      <c r="AV51" s="234">
        <f t="shared" si="21"/>
        <v>16</v>
      </c>
      <c r="AW51" s="234">
        <f>COUNTIF( AV$7:AV51, AV51 )</f>
        <v>17</v>
      </c>
      <c r="AX51" s="287">
        <f t="shared" si="22"/>
        <v>17.7</v>
      </c>
      <c r="AY51" s="234">
        <f t="shared" si="23"/>
        <v>32</v>
      </c>
      <c r="AZ51" s="236"/>
      <c r="BA51" s="236"/>
      <c r="BC51" s="234">
        <f t="shared" ca="1" si="24"/>
        <v>45</v>
      </c>
      <c r="BD51" s="288">
        <f t="shared" ca="1" si="6"/>
        <v>22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MR</v>
      </c>
      <c r="F52" s="306"/>
      <c r="G52" s="307">
        <f t="shared" ca="1" si="1"/>
        <v>27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26</v>
      </c>
      <c r="AR52" s="286" t="s">
        <v>10</v>
      </c>
      <c r="AS52" s="286">
        <v>20</v>
      </c>
      <c r="AT52" s="286" t="s">
        <v>335</v>
      </c>
      <c r="AV52" s="234">
        <f t="shared" si="21"/>
        <v>3</v>
      </c>
      <c r="AW52" s="234">
        <f>COUNTIF( AV$7:AV52, AV52 )</f>
        <v>12</v>
      </c>
      <c r="AX52" s="287">
        <f t="shared" si="22"/>
        <v>4.2</v>
      </c>
      <c r="AY52" s="234">
        <f t="shared" si="23"/>
        <v>14</v>
      </c>
      <c r="AZ52" s="236"/>
      <c r="BA52" s="236"/>
      <c r="BC52" s="234">
        <f t="shared" ca="1" si="24"/>
        <v>46</v>
      </c>
      <c r="BD52" s="288">
        <f t="shared" ca="1" si="6"/>
        <v>24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57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257</v>
      </c>
      <c r="AR53" s="286" t="s">
        <v>10</v>
      </c>
      <c r="AS53" s="286">
        <v>20</v>
      </c>
      <c r="AT53" s="286" t="s">
        <v>337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39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1</v>
      </c>
      <c r="AX54" s="287">
        <f t="shared" si="22"/>
        <v>99.1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2</v>
      </c>
      <c r="AX55" s="287">
        <f t="shared" si="22"/>
        <v>99.2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3</v>
      </c>
      <c r="AX56" s="287">
        <f t="shared" si="22"/>
        <v>99.3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4</v>
      </c>
      <c r="AX57" s="287">
        <f t="shared" si="22"/>
        <v>99.4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5</v>
      </c>
      <c r="AX58" s="287">
        <f t="shared" si="22"/>
        <v>99.5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6</v>
      </c>
      <c r="AX59" s="287">
        <f t="shared" si="22"/>
        <v>99.6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7</v>
      </c>
      <c r="AX60" s="287">
        <f t="shared" si="22"/>
        <v>99.7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8</v>
      </c>
      <c r="AX61" s="287">
        <f t="shared" si="22"/>
        <v>99.8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9</v>
      </c>
      <c r="AX62" s="287">
        <f t="shared" si="22"/>
        <v>99.9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10</v>
      </c>
      <c r="AX63" s="287">
        <f t="shared" si="22"/>
        <v>100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19.041666666666668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18.979166666666668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'Credit_2017Q3'!d:d</v>
      </c>
      <c r="AK2" s="240" t="str">
        <f>AK4 &amp; AK3</f>
        <v>'Credit_2017Q3'!b1</v>
      </c>
      <c r="AL2" s="240" t="str">
        <f>AL4 &amp; AL3</f>
        <v>'Credit_2017Q3'!c1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'Credit_2017Q3'!</v>
      </c>
      <c r="AK4" s="236" t="str">
        <f t="shared" ref="AK4:AL4" si="0">$AQ$5</f>
        <v>'Credit_2017Q3'!</v>
      </c>
      <c r="AL4" s="236" t="str">
        <f t="shared" si="0"/>
        <v>'Credit_2017Q3'!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(49)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(14)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562</v>
      </c>
    </row>
    <row r="6" spans="1:61" ht="28.5" customHeight="1" x14ac:dyDescent="0.25">
      <c r="A6" s="299" t="s">
        <v>0</v>
      </c>
      <c r="B6" s="300" t="s">
        <v>555</v>
      </c>
      <c r="C6" s="338" t="s">
        <v>470</v>
      </c>
      <c r="D6" s="301"/>
      <c r="E6" s="302">
        <f ca="1">INDIRECT( E3 &amp; G1 )</f>
        <v>42735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58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0.34693877551020408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7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0.18367346938775511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2</v>
      </c>
      <c r="S11" s="296">
        <f t="shared" ca="1" si="14"/>
        <v>0.14285714285714285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34</v>
      </c>
      <c r="AW12" s="234">
        <f>COUNTIF( AV$7:AV12, AV12 )</f>
        <v>1</v>
      </c>
      <c r="AX12" s="287">
        <f t="shared" si="22"/>
        <v>34.1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63">
        <f ca="1">SUM(AA8:AA13)</f>
        <v>49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34</v>
      </c>
      <c r="AW14" s="234">
        <f>COUNTIF( AV$7:AV14, AV14 )</f>
        <v>2</v>
      </c>
      <c r="AX14" s="287">
        <f t="shared" si="22"/>
        <v>34.200000000000003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19.057142857142857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18.857142857142858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9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34</v>
      </c>
      <c r="AW24" s="234">
        <f>COUNTIF( AV$7:AV24, AV24 )</f>
        <v>3</v>
      </c>
      <c r="AX24" s="287">
        <f t="shared" si="22"/>
        <v>34.299999999999997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110</v>
      </c>
      <c r="AS26" s="286">
        <v>22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561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34</v>
      </c>
      <c r="AW27" s="234">
        <f>COUNTIF( AV$7:AV27, AV27 )</f>
        <v>4</v>
      </c>
      <c r="AX27" s="287">
        <f t="shared" si="22"/>
        <v>34.4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9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34</v>
      </c>
      <c r="AW31" s="234">
        <f>COUNTIF( AV$7:AV31, AV31 )</f>
        <v>5</v>
      </c>
      <c r="AX31" s="287">
        <f t="shared" si="22"/>
        <v>34.5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**EFH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34</v>
      </c>
      <c r="AW36" s="234">
        <f>COUNTIF( AV$7:AV36, AV36 )</f>
        <v>6</v>
      </c>
      <c r="AX36" s="287">
        <f t="shared" si="22"/>
        <v>34.6</v>
      </c>
      <c r="AY36" s="234">
        <f t="shared" si="23"/>
        <v>39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76</v>
      </c>
      <c r="B38" s="304" t="s">
        <v>16</v>
      </c>
      <c r="C38" s="304">
        <v>19</v>
      </c>
      <c r="D38" s="304" t="s">
        <v>333</v>
      </c>
      <c r="E38" s="305" t="str">
        <f t="shared" ca="1" si="8"/>
        <v>R</v>
      </c>
      <c r="F38" s="306"/>
      <c r="G38" s="307">
        <f t="shared" ca="1" si="1"/>
        <v>46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Unitil Corporation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UTL</v>
      </c>
    </row>
    <row r="39" spans="1:61" ht="13.8" x14ac:dyDescent="0.25">
      <c r="A39" s="303" t="s">
        <v>59</v>
      </c>
      <c r="B39" s="304" t="s">
        <v>16</v>
      </c>
      <c r="C39" s="304">
        <v>19</v>
      </c>
      <c r="D39" s="304" t="s">
        <v>336</v>
      </c>
      <c r="E39" s="305" t="str">
        <f t="shared" ca="1" si="8"/>
        <v>R</v>
      </c>
      <c r="F39" s="306"/>
      <c r="G39" s="307">
        <f t="shared" ca="1" si="1"/>
        <v>49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34</v>
      </c>
      <c r="AW39" s="234">
        <f>COUNTIF( AV$7:AV39, AV39 )</f>
        <v>7</v>
      </c>
      <c r="AX39" s="287">
        <f t="shared" si="22"/>
        <v>34.700000000000003</v>
      </c>
      <c r="AY39" s="234">
        <f t="shared" si="23"/>
        <v>40</v>
      </c>
      <c r="AZ39" s="236"/>
      <c r="BA39" s="236"/>
      <c r="BC39" s="234">
        <f t="shared" ca="1" si="24"/>
        <v>33</v>
      </c>
      <c r="BD39" s="288">
        <f t="shared" ca="1" si="6"/>
        <v>46</v>
      </c>
      <c r="BF39" s="240" t="str">
        <f t="shared" ref="BF39:BI63" ca="1" si="25">OFFSET( AQ$6, $BD39, 0 )</f>
        <v>Westar Energy, Inc.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WR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21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34</v>
      </c>
      <c r="AW43" s="234">
        <f>COUNTIF( AV$7:AV43, AV43 )</f>
        <v>8</v>
      </c>
      <c r="AX43" s="287">
        <f t="shared" si="22"/>
        <v>34.799999999999997</v>
      </c>
      <c r="AY43" s="234">
        <f t="shared" si="23"/>
        <v>41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34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30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36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33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8"/>
        <v>R</v>
      </c>
      <c r="F47" s="306"/>
      <c r="G47" s="307">
        <f t="shared" ca="1" si="1"/>
        <v>40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28</v>
      </c>
      <c r="AS47" s="286">
        <v>18</v>
      </c>
      <c r="AT47" s="286" t="s">
        <v>326</v>
      </c>
      <c r="AV47" s="234">
        <f t="shared" si="21"/>
        <v>34</v>
      </c>
      <c r="AW47" s="234">
        <f>COUNTIF( AV$7:AV47, AV47 )</f>
        <v>9</v>
      </c>
      <c r="AX47" s="287">
        <f t="shared" si="22"/>
        <v>34.9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6"/>
        <v>37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13</v>
      </c>
      <c r="B48" s="304" t="s">
        <v>28</v>
      </c>
      <c r="C48" s="304">
        <v>18</v>
      </c>
      <c r="D48" s="304" t="s">
        <v>326</v>
      </c>
      <c r="E48" s="305" t="str">
        <f t="shared" ca="1" si="8"/>
        <v>MR</v>
      </c>
      <c r="F48" s="306"/>
      <c r="G48" s="307">
        <f t="shared" ca="1" si="1"/>
        <v>43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>
        <f t="shared" ca="1" si="18"/>
        <v>1</v>
      </c>
      <c r="AJ48" s="236">
        <f t="shared" ca="1" si="19"/>
        <v>37</v>
      </c>
      <c r="AK48" s="236" t="str">
        <f t="shared" ca="1" si="20"/>
        <v>BBB+</v>
      </c>
      <c r="AL48" s="236">
        <f t="shared" ca="1" si="20"/>
        <v>19</v>
      </c>
      <c r="AM48" s="236" t="str">
        <f t="shared" ca="1" si="4"/>
        <v>Change</v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15</v>
      </c>
      <c r="AX48" s="287">
        <f t="shared" si="22"/>
        <v>18.5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41</v>
      </c>
      <c r="BF48" s="240" t="str">
        <f t="shared" ca="1" si="25"/>
        <v>SCANA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SCG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16</v>
      </c>
      <c r="AX50" s="287">
        <f t="shared" si="22"/>
        <v>18.600000000000001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17</v>
      </c>
      <c r="AX52" s="287">
        <f t="shared" si="22"/>
        <v>18.7</v>
      </c>
      <c r="AY52" s="234">
        <f t="shared" si="23"/>
        <v>33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61</v>
      </c>
      <c r="C54" s="304">
        <v>15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</v>
      </c>
      <c r="BH54" s="240">
        <f t="shared" ca="1" si="25"/>
        <v>15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'Credit_2017Q2'!d:d</v>
      </c>
      <c r="AK2" s="240" t="str">
        <f>AK4 &amp; AK3</f>
        <v>'Credit_2017Q2'!b1</v>
      </c>
      <c r="AL2" s="240" t="str">
        <f>AL4 &amp; AL3</f>
        <v>'Credit_2017Q2'!c1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'Credit_2017Q2'!</v>
      </c>
      <c r="AK4" s="236" t="str">
        <f t="shared" ref="AK4:AL4" si="0">$AQ$5</f>
        <v>'Credit_2017Q2'!</v>
      </c>
      <c r="AL4" s="236" t="str">
        <f t="shared" si="0"/>
        <v>'Credit_2017Q2'!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(49)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(14)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560</v>
      </c>
    </row>
    <row r="6" spans="1:61" ht="28.5" customHeight="1" x14ac:dyDescent="0.25">
      <c r="A6" s="299" t="s">
        <v>0</v>
      </c>
      <c r="B6" s="300" t="s">
        <v>554</v>
      </c>
      <c r="C6" s="338" t="s">
        <v>470</v>
      </c>
      <c r="D6" s="301"/>
      <c r="E6" s="302">
        <f ca="1">INDIRECT( E3 &amp; G1 )</f>
        <v>42735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2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18.979591836734695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19.028571428571428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18.857142857142858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9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Energy,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9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'Credit_2017Q1'!d:d</v>
      </c>
      <c r="AK2" s="240" t="str">
        <f>AK4 &amp; AK3</f>
        <v>'Credit_2017Q1'!b1</v>
      </c>
      <c r="AL2" s="240" t="str">
        <f>AL4 &amp; AL3</f>
        <v>'Credit_2017Q1'!c1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'Credit_2017Q1'!</v>
      </c>
      <c r="AK4" s="236" t="str">
        <f t="shared" ref="AK4:AL4" si="0">$AQ$5</f>
        <v>'Credit_2017Q1'!</v>
      </c>
      <c r="AL4" s="236" t="str">
        <f t="shared" si="0"/>
        <v>'Credit_2017Q1'!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(49)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(14)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559</v>
      </c>
    </row>
    <row r="6" spans="1:61" ht="28.5" customHeight="1" x14ac:dyDescent="0.25">
      <c r="A6" s="299" t="s">
        <v>0</v>
      </c>
      <c r="B6" s="300" t="s">
        <v>553</v>
      </c>
      <c r="C6" s="338" t="s">
        <v>470</v>
      </c>
      <c r="D6" s="301"/>
      <c r="E6" s="302">
        <f ca="1">INDIRECT( E3 &amp; G1 )</f>
        <v>42735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17</v>
      </c>
      <c r="AW7" s="234">
        <f>COUNTIF( AV7:AV$7, AV7 )</f>
        <v>1</v>
      </c>
      <c r="AX7" s="287">
        <f>AV7 + AW7 / 10</f>
        <v>17.100000000000001</v>
      </c>
      <c r="AY7" s="234">
        <f>RANK( AX7, $AX$7:$AX$63, 1 )</f>
        <v>17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14</v>
      </c>
      <c r="M9" s="296">
        <f t="shared" si="10"/>
        <v>0.2857142857142857</v>
      </c>
      <c r="N9" s="318"/>
      <c r="O9" s="295">
        <f t="shared" ca="1" si="11"/>
        <v>12</v>
      </c>
      <c r="P9" s="296">
        <f t="shared" ca="1" si="12"/>
        <v>0.34285714285714286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14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17</v>
      </c>
      <c r="AW9" s="234">
        <f>COUNTIF( AV$7:AV9, AV9 )</f>
        <v>2</v>
      </c>
      <c r="AX9" s="287">
        <f t="shared" si="22"/>
        <v>17.2</v>
      </c>
      <c r="AY9" s="234">
        <f t="shared" si="23"/>
        <v>18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0.36734693877551022</v>
      </c>
      <c r="N10" s="318"/>
      <c r="O10" s="295">
        <f t="shared" ca="1" si="11"/>
        <v>10</v>
      </c>
      <c r="P10" s="296">
        <f t="shared" ca="1" si="12"/>
        <v>0.2857142857142857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17</v>
      </c>
      <c r="AW11" s="234">
        <f>COUNTIF( AV$7:AV11, AV11 )</f>
        <v>3</v>
      </c>
      <c r="AX11" s="287">
        <f t="shared" si="22"/>
        <v>17.3</v>
      </c>
      <c r="AY11" s="234">
        <f t="shared" si="23"/>
        <v>19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18.979591836734695</v>
      </c>
      <c r="Z14" s="261"/>
      <c r="AA14" s="461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53</v>
      </c>
      <c r="B16" s="304" t="s">
        <v>10</v>
      </c>
      <c r="C16" s="304">
        <v>20</v>
      </c>
      <c r="D16" s="304" t="s">
        <v>317</v>
      </c>
      <c r="E16" s="305" t="str">
        <f t="shared" ca="1" si="8"/>
        <v>R</v>
      </c>
      <c r="F16" s="306"/>
      <c r="G16" s="307">
        <f t="shared" ca="1" si="1"/>
        <v>37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18.979591836734695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19.028571428571428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18.857142857142858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>
        <f t="shared" ca="1" si="3"/>
        <v>1</v>
      </c>
      <c r="AH16" s="236" t="str">
        <f t="shared" ca="1" si="18"/>
        <v/>
      </c>
      <c r="AJ16" s="236">
        <f t="shared" ca="1" si="19"/>
        <v>34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4"/>
        <v>Change</v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34</v>
      </c>
      <c r="BF16" s="240" t="str">
        <f t="shared" ca="1" si="7"/>
        <v>PG&amp;E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PCG</v>
      </c>
    </row>
    <row r="17" spans="1:61" ht="13.8" x14ac:dyDescent="0.25">
      <c r="A17" s="303" t="s">
        <v>41</v>
      </c>
      <c r="B17" s="304" t="s">
        <v>10</v>
      </c>
      <c r="C17" s="304">
        <v>20</v>
      </c>
      <c r="D17" s="304" t="s">
        <v>321</v>
      </c>
      <c r="E17" s="305" t="str">
        <f t="shared" ca="1" si="8"/>
        <v>R</v>
      </c>
      <c r="F17" s="306"/>
      <c r="G17" s="307">
        <f t="shared" ca="1" si="1"/>
        <v>38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17</v>
      </c>
      <c r="AW17" s="234">
        <f>COUNTIF( AV$7:AV17, AV17 )</f>
        <v>4</v>
      </c>
      <c r="AX17" s="287">
        <f t="shared" si="22"/>
        <v>17.399999999999999</v>
      </c>
      <c r="AY17" s="234">
        <f t="shared" si="23"/>
        <v>20</v>
      </c>
      <c r="AZ17" s="236"/>
      <c r="BA17" s="236"/>
      <c r="BC17" s="234">
        <f t="shared" ca="1" si="24"/>
        <v>11</v>
      </c>
      <c r="BD17" s="288">
        <f t="shared" ca="1" si="6"/>
        <v>35</v>
      </c>
      <c r="BF17" s="240" t="str">
        <f t="shared" ca="1" si="7"/>
        <v>Pinnacle West Capital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PNW</v>
      </c>
    </row>
    <row r="18" spans="1:61" ht="13.8" x14ac:dyDescent="0.25">
      <c r="A18" s="303" t="s">
        <v>43</v>
      </c>
      <c r="B18" s="304" t="s">
        <v>10</v>
      </c>
      <c r="C18" s="304">
        <v>20</v>
      </c>
      <c r="D18" s="304" t="s">
        <v>324</v>
      </c>
      <c r="E18" s="305" t="str">
        <f t="shared" ca="1" si="8"/>
        <v>R</v>
      </c>
      <c r="F18" s="306"/>
      <c r="G18" s="307">
        <f t="shared" ca="1" si="1"/>
        <v>41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38</v>
      </c>
      <c r="BF18" s="240" t="str">
        <f t="shared" ca="1" si="7"/>
        <v>PPL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PPL</v>
      </c>
    </row>
    <row r="19" spans="1:61" ht="13.8" x14ac:dyDescent="0.25">
      <c r="A19" s="303" t="s">
        <v>7</v>
      </c>
      <c r="B19" s="304" t="s">
        <v>10</v>
      </c>
      <c r="C19" s="304">
        <v>20</v>
      </c>
      <c r="D19" s="304" t="s">
        <v>327</v>
      </c>
      <c r="E19" s="305" t="str">
        <f t="shared" ca="1" si="8"/>
        <v>R</v>
      </c>
      <c r="F19" s="306"/>
      <c r="G19" s="307">
        <f t="shared" ca="1" si="1"/>
        <v>45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17</v>
      </c>
      <c r="AW19" s="234">
        <f>COUNTIF( AV$7:AV19, AV19 )</f>
        <v>5</v>
      </c>
      <c r="AX19" s="287">
        <f t="shared" si="22"/>
        <v>17.5</v>
      </c>
      <c r="AY19" s="234">
        <f t="shared" si="23"/>
        <v>21</v>
      </c>
      <c r="AZ19" s="236"/>
      <c r="BA19" s="236"/>
      <c r="BC19" s="234">
        <f t="shared" ca="1" si="24"/>
        <v>13</v>
      </c>
      <c r="BD19" s="288">
        <f t="shared" ca="1" si="6"/>
        <v>43</v>
      </c>
      <c r="BF19" s="240" t="str">
        <f t="shared" ca="1" si="7"/>
        <v>Southern Company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SO</v>
      </c>
    </row>
    <row r="20" spans="1:61" ht="13.8" x14ac:dyDescent="0.25">
      <c r="A20" s="303" t="s">
        <v>14</v>
      </c>
      <c r="B20" s="304" t="s">
        <v>10</v>
      </c>
      <c r="C20" s="304">
        <v>20</v>
      </c>
      <c r="D20" s="304" t="s">
        <v>334</v>
      </c>
      <c r="E20" s="305" t="str">
        <f t="shared" ca="1" si="8"/>
        <v>R</v>
      </c>
      <c r="F20" s="306"/>
      <c r="G20" s="307">
        <f t="shared" ca="1" si="1"/>
        <v>47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45</v>
      </c>
      <c r="BF20" s="240" t="str">
        <f t="shared" ca="1" si="7"/>
        <v>Vectren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VVC</v>
      </c>
    </row>
    <row r="21" spans="1:61" ht="13.8" x14ac:dyDescent="0.25">
      <c r="A21" s="303" t="s">
        <v>26</v>
      </c>
      <c r="B21" s="304" t="s">
        <v>10</v>
      </c>
      <c r="C21" s="304">
        <v>20</v>
      </c>
      <c r="D21" s="304" t="s">
        <v>335</v>
      </c>
      <c r="E21" s="305" t="str">
        <f t="shared" ca="1" si="8"/>
        <v>R</v>
      </c>
      <c r="F21" s="306"/>
      <c r="G21" s="307">
        <f t="shared" ca="1" si="1"/>
        <v>48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9" t="s">
        <v>288</v>
      </c>
      <c r="AV21" s="234">
        <f t="shared" si="21"/>
        <v>17</v>
      </c>
      <c r="AW21" s="234">
        <f>COUNTIF( AV$7:AV21, AV21 )</f>
        <v>6</v>
      </c>
      <c r="AX21" s="287">
        <f t="shared" si="22"/>
        <v>17.600000000000001</v>
      </c>
      <c r="AY21" s="234">
        <f t="shared" si="23"/>
        <v>22</v>
      </c>
      <c r="AZ21" s="236"/>
      <c r="BA21" s="236"/>
      <c r="BC21" s="234">
        <f t="shared" ca="1" si="24"/>
        <v>15</v>
      </c>
      <c r="BD21" s="288">
        <f t="shared" ca="1" si="6"/>
        <v>47</v>
      </c>
      <c r="BF21" s="240" t="str">
        <f t="shared" ca="1" si="7"/>
        <v>Wisconsin Energy Corporation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WEC</v>
      </c>
    </row>
    <row r="22" spans="1:61" ht="13.8" x14ac:dyDescent="0.25">
      <c r="A22" s="303" t="s">
        <v>257</v>
      </c>
      <c r="B22" s="304" t="s">
        <v>10</v>
      </c>
      <c r="C22" s="304">
        <v>20</v>
      </c>
      <c r="D22" s="304" t="s">
        <v>337</v>
      </c>
      <c r="E22" s="305" t="str">
        <f t="shared" ca="1" si="8"/>
        <v>R</v>
      </c>
      <c r="F22" s="306"/>
      <c r="G22" s="307">
        <f t="shared" ca="1" si="1"/>
        <v>50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A-</v>
      </c>
      <c r="AL22" s="236">
        <f t="shared" ca="1" si="20"/>
        <v>20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48</v>
      </c>
      <c r="BF22" s="240" t="str">
        <f t="shared" ca="1" si="7"/>
        <v>Xcel Energy Inc.</v>
      </c>
      <c r="BG22" s="240" t="str">
        <f t="shared" ca="1" si="7"/>
        <v>A-</v>
      </c>
      <c r="BH22" s="240">
        <f t="shared" ca="1" si="7"/>
        <v>20</v>
      </c>
      <c r="BI22" s="240" t="str">
        <f t="shared" ca="1" si="7"/>
        <v>XEL</v>
      </c>
    </row>
    <row r="23" spans="1:61" ht="13.8" x14ac:dyDescent="0.25">
      <c r="A23" s="303" t="s">
        <v>15</v>
      </c>
      <c r="B23" s="304" t="s">
        <v>16</v>
      </c>
      <c r="C23" s="304">
        <v>19</v>
      </c>
      <c r="D23" s="304" t="s">
        <v>276</v>
      </c>
      <c r="E23" s="305" t="str">
        <f t="shared" ca="1" si="8"/>
        <v>MR</v>
      </c>
      <c r="F23" s="306"/>
      <c r="G23" s="307">
        <f t="shared" ca="1" si="1"/>
        <v>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17</v>
      </c>
      <c r="AW23" s="234">
        <f>COUNTIF( AV$7:AV23, AV23 )</f>
        <v>7</v>
      </c>
      <c r="AX23" s="287">
        <f t="shared" si="22"/>
        <v>17.7</v>
      </c>
      <c r="AY23" s="234">
        <f t="shared" si="23"/>
        <v>23</v>
      </c>
      <c r="AZ23" s="236"/>
      <c r="BA23" s="236"/>
      <c r="BC23" s="234">
        <f t="shared" ca="1" si="24"/>
        <v>17</v>
      </c>
      <c r="BD23" s="288">
        <f t="shared" ca="1" si="6"/>
        <v>1</v>
      </c>
      <c r="BF23" s="240" t="str">
        <f t="shared" ca="1" si="7"/>
        <v>ALLETE,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ALE</v>
      </c>
    </row>
    <row r="24" spans="1:61" ht="13.8" x14ac:dyDescent="0.25">
      <c r="A24" s="303" t="s">
        <v>9</v>
      </c>
      <c r="B24" s="304" t="s">
        <v>16</v>
      </c>
      <c r="C24" s="304">
        <v>19</v>
      </c>
      <c r="D24" s="304" t="s">
        <v>273</v>
      </c>
      <c r="E24" s="305" t="str">
        <f t="shared" ca="1" si="8"/>
        <v>R</v>
      </c>
      <c r="F24" s="306"/>
      <c r="G24" s="307">
        <f t="shared" ca="1" si="1"/>
        <v>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3</v>
      </c>
      <c r="BF24" s="240" t="str">
        <f t="shared" ca="1" si="7"/>
        <v>Ameren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AEE</v>
      </c>
    </row>
    <row r="25" spans="1:61" ht="13.8" x14ac:dyDescent="0.25">
      <c r="A25" s="303" t="s">
        <v>531</v>
      </c>
      <c r="B25" s="304" t="s">
        <v>16</v>
      </c>
      <c r="C25" s="304">
        <v>19</v>
      </c>
      <c r="D25" s="304" t="s">
        <v>529</v>
      </c>
      <c r="E25" s="305" t="str">
        <f t="shared" ca="1" si="8"/>
        <v>MR</v>
      </c>
      <c r="F25" s="306"/>
      <c r="G25" s="307">
        <f t="shared" ca="1" si="1"/>
        <v>11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17</v>
      </c>
      <c r="AW25" s="234">
        <f>COUNTIF( AV$7:AV25, AV25 )</f>
        <v>8</v>
      </c>
      <c r="AX25" s="287">
        <f t="shared" si="22"/>
        <v>17.8</v>
      </c>
      <c r="AY25" s="234">
        <f t="shared" si="23"/>
        <v>24</v>
      </c>
      <c r="AZ25" s="236"/>
      <c r="BA25" s="236"/>
      <c r="BC25" s="234">
        <f t="shared" ca="1" si="24"/>
        <v>19</v>
      </c>
      <c r="BD25" s="288">
        <f t="shared" ca="1" si="6"/>
        <v>5</v>
      </c>
      <c r="BF25" s="240" t="str">
        <f t="shared" ca="1" si="7"/>
        <v>AVANGRID,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AGR</v>
      </c>
    </row>
    <row r="26" spans="1:61" ht="13.8" x14ac:dyDescent="0.25">
      <c r="A26" s="303" t="s">
        <v>60</v>
      </c>
      <c r="B26" s="304" t="s">
        <v>16</v>
      </c>
      <c r="C26" s="304">
        <v>19</v>
      </c>
      <c r="D26" s="304" t="s">
        <v>283</v>
      </c>
      <c r="E26" s="305" t="str">
        <f t="shared" ca="1" si="8"/>
        <v>R</v>
      </c>
      <c r="F26" s="306"/>
      <c r="G26" s="307">
        <f t="shared" ca="1" si="1"/>
        <v>15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11</v>
      </c>
      <c r="BF26" s="240" t="str">
        <f t="shared" ca="1" si="7"/>
        <v>CMS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CMS</v>
      </c>
    </row>
    <row r="27" spans="1:61" ht="13.8" x14ac:dyDescent="0.25">
      <c r="A27" s="303" t="s">
        <v>18</v>
      </c>
      <c r="B27" s="304" t="s">
        <v>16</v>
      </c>
      <c r="C27" s="304">
        <v>19</v>
      </c>
      <c r="D27" s="304" t="s">
        <v>86</v>
      </c>
      <c r="E27" s="305" t="str">
        <f t="shared" ca="1" si="8"/>
        <v>MR</v>
      </c>
      <c r="F27" s="306"/>
      <c r="G27" s="307">
        <f t="shared" ca="1" si="1"/>
        <v>17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13</v>
      </c>
      <c r="BF27" s="240" t="str">
        <f t="shared" ca="1" si="7"/>
        <v>Dominion Resources,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</v>
      </c>
    </row>
    <row r="28" spans="1:61" ht="13.8" x14ac:dyDescent="0.25">
      <c r="A28" s="303" t="s">
        <v>31</v>
      </c>
      <c r="B28" s="304" t="s">
        <v>16</v>
      </c>
      <c r="C28" s="304">
        <v>19</v>
      </c>
      <c r="D28" s="304" t="s">
        <v>288</v>
      </c>
      <c r="E28" s="305" t="str">
        <f t="shared" ca="1" si="8"/>
        <v>MR</v>
      </c>
      <c r="F28" s="306"/>
      <c r="G28" s="307">
        <f t="shared" ca="1" si="1"/>
        <v>18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15</v>
      </c>
      <c r="BF28" s="240" t="str">
        <f t="shared" ca="1" si="7"/>
        <v>DTE Energy Company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DTE</v>
      </c>
    </row>
    <row r="29" spans="1:61" ht="13.8" x14ac:dyDescent="0.25">
      <c r="A29" s="303" t="s">
        <v>57</v>
      </c>
      <c r="B29" s="304" t="s">
        <v>16</v>
      </c>
      <c r="C29" s="304">
        <v>19</v>
      </c>
      <c r="D29" s="304" t="s">
        <v>295</v>
      </c>
      <c r="E29" s="305" t="str">
        <f t="shared" ca="1" si="8"/>
        <v>R</v>
      </c>
      <c r="F29" s="306"/>
      <c r="G29" s="307">
        <f t="shared" ca="1" si="1"/>
        <v>20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17</v>
      </c>
      <c r="AW29" s="234">
        <f>COUNTIF( AV$7:AV29, AV29 )</f>
        <v>9</v>
      </c>
      <c r="AX29" s="287">
        <f t="shared" si="22"/>
        <v>17.899999999999999</v>
      </c>
      <c r="AY29" s="234">
        <f t="shared" si="23"/>
        <v>25</v>
      </c>
      <c r="AZ29" s="236"/>
      <c r="BA29" s="236"/>
      <c r="BC29" s="234">
        <f t="shared" ca="1" si="24"/>
        <v>23</v>
      </c>
      <c r="BD29" s="288">
        <f t="shared" ca="1" si="6"/>
        <v>17</v>
      </c>
      <c r="BF29" s="240" t="str">
        <f t="shared" ca="1" si="7"/>
        <v>Edison International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EIX</v>
      </c>
    </row>
    <row r="30" spans="1:61" ht="13.8" x14ac:dyDescent="0.25">
      <c r="A30" s="303" t="s">
        <v>36</v>
      </c>
      <c r="B30" s="304" t="s">
        <v>16</v>
      </c>
      <c r="C30" s="304">
        <v>19</v>
      </c>
      <c r="D30" s="304" t="s">
        <v>296</v>
      </c>
      <c r="E30" s="305" t="str">
        <f t="shared" ca="1" si="8"/>
        <v>R</v>
      </c>
      <c r="F30" s="306"/>
      <c r="G30" s="307">
        <f t="shared" ca="1" si="1"/>
        <v>23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19</v>
      </c>
      <c r="BF30" s="240" t="str">
        <f t="shared" ca="1" si="7"/>
        <v>Entergy Corporation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ETR</v>
      </c>
    </row>
    <row r="31" spans="1:61" ht="13.8" x14ac:dyDescent="0.25">
      <c r="A31" s="303" t="s">
        <v>260</v>
      </c>
      <c r="B31" s="304" t="s">
        <v>16</v>
      </c>
      <c r="C31" s="304">
        <v>19</v>
      </c>
      <c r="D31" s="304" t="s">
        <v>300</v>
      </c>
      <c r="E31" s="305" t="str">
        <f t="shared" ca="1" si="8"/>
        <v>R</v>
      </c>
      <c r="F31" s="306"/>
      <c r="G31" s="307">
        <f t="shared" ca="1" si="1"/>
        <v>27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23</v>
      </c>
      <c r="BF31" s="240" t="str">
        <f t="shared" ca="1" si="7"/>
        <v>Great Plains Energy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GXP</v>
      </c>
    </row>
    <row r="32" spans="1:61" ht="13.8" x14ac:dyDescent="0.25">
      <c r="A32" s="303" t="s">
        <v>12</v>
      </c>
      <c r="B32" s="304" t="s">
        <v>16</v>
      </c>
      <c r="C32" s="304">
        <v>19</v>
      </c>
      <c r="D32" s="304" t="s">
        <v>308</v>
      </c>
      <c r="E32" s="305" t="str">
        <f t="shared" ca="1" si="8"/>
        <v>MR</v>
      </c>
      <c r="F32" s="306"/>
      <c r="G32" s="307">
        <f t="shared" ca="1" si="1"/>
        <v>30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27</v>
      </c>
      <c r="BF32" s="240" t="str">
        <f t="shared" ca="1" si="7"/>
        <v>MDU Resources Group,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MDU</v>
      </c>
    </row>
    <row r="33" spans="1:61" ht="13.8" x14ac:dyDescent="0.25">
      <c r="A33" s="303" t="s">
        <v>40</v>
      </c>
      <c r="B33" s="304" t="s">
        <v>16</v>
      </c>
      <c r="C33" s="304">
        <v>19</v>
      </c>
      <c r="D33" s="304" t="s">
        <v>310</v>
      </c>
      <c r="E33" s="305" t="str">
        <f t="shared" ca="1" si="8"/>
        <v>R</v>
      </c>
      <c r="F33" s="306"/>
      <c r="G33" s="307">
        <f t="shared" ca="1" si="1"/>
        <v>33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17</v>
      </c>
      <c r="AW33" s="234">
        <f>COUNTIF( AV$7:AV33, AV33 )</f>
        <v>10</v>
      </c>
      <c r="AX33" s="287">
        <f t="shared" si="22"/>
        <v>18</v>
      </c>
      <c r="AY33" s="234">
        <f t="shared" si="23"/>
        <v>26</v>
      </c>
      <c r="AZ33" s="236"/>
      <c r="BA33" s="236"/>
      <c r="BC33" s="234">
        <f t="shared" ca="1" si="24"/>
        <v>27</v>
      </c>
      <c r="BD33" s="288">
        <f t="shared" ca="1" si="6"/>
        <v>29</v>
      </c>
      <c r="BF33" s="240" t="str">
        <f t="shared" ca="1" si="7"/>
        <v>NiSource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NI</v>
      </c>
    </row>
    <row r="34" spans="1:61" ht="13.8" x14ac:dyDescent="0.25">
      <c r="A34" s="303" t="s">
        <v>556</v>
      </c>
      <c r="B34" s="304" t="s">
        <v>16</v>
      </c>
      <c r="C34" s="304">
        <v>19</v>
      </c>
      <c r="D34" s="304" t="s">
        <v>444</v>
      </c>
      <c r="E34" s="305" t="str">
        <f t="shared" ca="1" si="8"/>
        <v>R</v>
      </c>
      <c r="F34" s="306"/>
      <c r="G34" s="307">
        <f t="shared" ca="1" si="1"/>
        <v>56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32</v>
      </c>
      <c r="BF34" s="240" t="str">
        <f t="shared" ca="1" si="7"/>
        <v>Oncor Electric Delivery Company LLC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**ONC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17</v>
      </c>
      <c r="AW35" s="234">
        <f>COUNTIF( AV$7:AV35, AV35 )</f>
        <v>11</v>
      </c>
      <c r="AX35" s="287">
        <f t="shared" si="22"/>
        <v>18.100000000000001</v>
      </c>
      <c r="AY35" s="234">
        <f t="shared" si="23"/>
        <v>27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558</v>
      </c>
      <c r="AV38" s="234">
        <f t="shared" si="21"/>
        <v>17</v>
      </c>
      <c r="AW38" s="234">
        <f>COUNTIF( AV$7:AV38, AV38 )</f>
        <v>12</v>
      </c>
      <c r="AX38" s="287">
        <f t="shared" si="22"/>
        <v>18.2</v>
      </c>
      <c r="AY38" s="234">
        <f t="shared" si="23"/>
        <v>28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10</v>
      </c>
      <c r="AS40" s="286">
        <v>20</v>
      </c>
      <c r="AT40" s="286" t="s">
        <v>317</v>
      </c>
      <c r="AV40" s="234">
        <f t="shared" si="21"/>
        <v>3</v>
      </c>
      <c r="AW40" s="234">
        <f>COUNTIF( AV$7:AV40, AV40 )</f>
        <v>8</v>
      </c>
      <c r="AX40" s="287">
        <f t="shared" si="22"/>
        <v>3.8</v>
      </c>
      <c r="AY40" s="234">
        <f t="shared" si="23"/>
        <v>10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9</v>
      </c>
      <c r="AX41" s="287">
        <f t="shared" si="22"/>
        <v>3.9</v>
      </c>
      <c r="AY41" s="234">
        <f t="shared" si="23"/>
        <v>11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17</v>
      </c>
      <c r="AW42" s="234">
        <f>COUNTIF( AV$7:AV42, AV42 )</f>
        <v>13</v>
      </c>
      <c r="AX42" s="287">
        <f t="shared" si="22"/>
        <v>18.3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10</v>
      </c>
      <c r="AX44" s="287">
        <f t="shared" si="22"/>
        <v>4</v>
      </c>
      <c r="AY44" s="234">
        <f t="shared" si="23"/>
        <v>12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17</v>
      </c>
      <c r="AW45" s="234">
        <f>COUNTIF( AV$7:AV45, AV45 )</f>
        <v>14</v>
      </c>
      <c r="AX45" s="287">
        <f t="shared" si="22"/>
        <v>18.399999999999999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17</v>
      </c>
      <c r="AW47" s="234">
        <f>COUNTIF( AV$7:AV47, AV47 )</f>
        <v>15</v>
      </c>
      <c r="AX47" s="287">
        <f t="shared" si="22"/>
        <v>18.5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17</v>
      </c>
      <c r="AW48" s="234">
        <f>COUNTIF( AV$7:AV48, AV48 )</f>
        <v>16</v>
      </c>
      <c r="AX48" s="287">
        <f t="shared" si="22"/>
        <v>18.600000000000001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11</v>
      </c>
      <c r="AX49" s="287">
        <f t="shared" si="22"/>
        <v>4.0999999999999996</v>
      </c>
      <c r="AY49" s="234">
        <f t="shared" si="23"/>
        <v>13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17</v>
      </c>
      <c r="AW50" s="234">
        <f>COUNTIF( AV$7:AV50, AV50 )</f>
        <v>17</v>
      </c>
      <c r="AX50" s="287">
        <f t="shared" si="22"/>
        <v>18.7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12</v>
      </c>
      <c r="AX51" s="287">
        <f t="shared" si="22"/>
        <v>4.2</v>
      </c>
      <c r="AY51" s="234">
        <f t="shared" si="23"/>
        <v>14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17</v>
      </c>
      <c r="AW52" s="234">
        <f>COUNTIF( AV$7:AV52, AV52 )</f>
        <v>18</v>
      </c>
      <c r="AX52" s="287">
        <f t="shared" si="22"/>
        <v>18.8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13</v>
      </c>
      <c r="AX53" s="287">
        <f t="shared" si="22"/>
        <v>4.3</v>
      </c>
      <c r="AY53" s="234">
        <f t="shared" si="23"/>
        <v>15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BB-</v>
      </c>
      <c r="AL54" s="236">
        <f t="shared" ca="1" si="20"/>
        <v>14</v>
      </c>
      <c r="AM54" s="236" t="str">
        <f t="shared" ca="1" si="4"/>
        <v/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14</v>
      </c>
      <c r="AX54" s="287">
        <f t="shared" si="22"/>
        <v>4.4000000000000004</v>
      </c>
      <c r="AY54" s="234">
        <f t="shared" si="23"/>
        <v>16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18.979591836734695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18.979591836734695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-- 2017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Reg_Percent_2016</v>
      </c>
      <c r="G2" s="239" t="s">
        <v>552</v>
      </c>
      <c r="AJ2" s="240" t="str">
        <f>AJ4 &amp; AJ3</f>
        <v>'Credit_2016Q4'!d:d</v>
      </c>
      <c r="AK2" s="240" t="str">
        <f>AK4 &amp; AK3</f>
        <v>'Credit_2016Q4'!b1</v>
      </c>
      <c r="AL2" s="240" t="str">
        <f>AL4 &amp; AL3</f>
        <v>'Credit_2016Q4'!c1</v>
      </c>
      <c r="AQ2" s="236"/>
    </row>
    <row r="3" spans="1:61" ht="18" hidden="1" outlineLevel="1" x14ac:dyDescent="0.25">
      <c r="A3" s="233"/>
      <c r="E3" s="241" t="str">
        <f>"'" &amp; E2 &amp; "'!"</f>
        <v>'Reg_Percent_2016'!</v>
      </c>
      <c r="G3" s="234" t="str">
        <f>"'" &amp; G2 &amp; "'!"</f>
        <v>'Reg_Percent_2016'!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'Credit_2016Q4'!</v>
      </c>
      <c r="AK4" s="236" t="str">
        <f t="shared" ref="AK4:AL4" si="0">$AQ$5</f>
        <v>'Credit_2016Q4'!</v>
      </c>
      <c r="AL4" s="236" t="str">
        <f t="shared" si="0"/>
        <v>'Credit_2016Q4'!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(49)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(14)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549</v>
      </c>
    </row>
    <row r="6" spans="1:61" ht="28.5" customHeight="1" x14ac:dyDescent="0.25">
      <c r="A6" s="299" t="s">
        <v>0</v>
      </c>
      <c r="B6" s="300" t="s">
        <v>550</v>
      </c>
      <c r="C6" s="338" t="s">
        <v>470</v>
      </c>
      <c r="D6" s="301"/>
      <c r="E6" s="302">
        <f ca="1">INDIRECT( E3 &amp; G1 )</f>
        <v>42735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58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16</v>
      </c>
      <c r="AW7" s="234">
        <f>COUNTIF( AV7:AV$7, AV7 )</f>
        <v>1</v>
      </c>
      <c r="AX7" s="287">
        <f>AV7 + AW7 / 10</f>
        <v>16.100000000000001</v>
      </c>
      <c r="AY7" s="234">
        <f>RANK( AX7, $AX$7:$AX$63, 1 )</f>
        <v>16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24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6.1224489795918366E-2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7.1428571428571425E-2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20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0.26530612244897961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2</v>
      </c>
      <c r="S9" s="296">
        <f t="shared" ca="1" si="14"/>
        <v>0.14285714285714285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16</v>
      </c>
      <c r="AW9" s="234">
        <f>COUNTIF( AV$7:AV9, AV9 )</f>
        <v>2</v>
      </c>
      <c r="AX9" s="287">
        <f t="shared" si="22"/>
        <v>16.2</v>
      </c>
      <c r="AY9" s="234">
        <f t="shared" si="23"/>
        <v>17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19</v>
      </c>
      <c r="M10" s="296">
        <f t="shared" si="10"/>
        <v>0.38775510204081631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8</v>
      </c>
      <c r="S10" s="296">
        <f t="shared" ca="1" si="14"/>
        <v>0.5714285714285714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19</v>
      </c>
      <c r="AE10" s="254"/>
      <c r="AF10" s="236">
        <f t="shared" si="2"/>
        <v>0</v>
      </c>
      <c r="AG10" s="236">
        <f t="shared" ca="1" si="3"/>
        <v>1</v>
      </c>
      <c r="AH10" s="236" t="str">
        <f t="shared" ca="1" si="18"/>
        <v/>
      </c>
      <c r="AJ10" s="236">
        <f t="shared" ca="1" si="19"/>
        <v>23</v>
      </c>
      <c r="AK10" s="236" t="str">
        <f t="shared" ca="1" si="20"/>
        <v>BBB+</v>
      </c>
      <c r="AL10" s="236">
        <f t="shared" ca="1" si="20"/>
        <v>19</v>
      </c>
      <c r="AM10" s="236" t="str">
        <f t="shared" ca="1" si="4"/>
        <v>Change</v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29</v>
      </c>
      <c r="B11" s="304" t="s">
        <v>10</v>
      </c>
      <c r="C11" s="304">
        <v>20</v>
      </c>
      <c r="D11" s="304" t="s">
        <v>285</v>
      </c>
      <c r="E11" s="305" t="str">
        <f t="shared" ca="1" si="8"/>
        <v>MR</v>
      </c>
      <c r="F11" s="306"/>
      <c r="G11" s="307">
        <f t="shared" ca="1" si="1"/>
        <v>14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0.16326530612244897</v>
      </c>
      <c r="N11" s="318"/>
      <c r="O11" s="295">
        <f t="shared" ca="1" si="11"/>
        <v>7</v>
      </c>
      <c r="P11" s="296">
        <f t="shared" ca="1" si="12"/>
        <v>0.2</v>
      </c>
      <c r="Q11" s="318"/>
      <c r="R11" s="295">
        <f t="shared" ca="1" si="13"/>
        <v>1</v>
      </c>
      <c r="S11" s="296">
        <f t="shared" ca="1" si="14"/>
        <v>7.1428571428571425E-2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16</v>
      </c>
      <c r="AW11" s="234">
        <f>COUNTIF( AV$7:AV11, AV11 )</f>
        <v>3</v>
      </c>
      <c r="AX11" s="287">
        <f t="shared" si="22"/>
        <v>16.3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9</v>
      </c>
      <c r="BF11" s="240" t="str">
        <f t="shared" ca="1" si="7"/>
        <v>CenterPoint Energy,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CNP</v>
      </c>
    </row>
    <row r="12" spans="1:61" ht="13.8" x14ac:dyDescent="0.25">
      <c r="A12" s="303" t="s">
        <v>3</v>
      </c>
      <c r="B12" s="304" t="s">
        <v>10</v>
      </c>
      <c r="C12" s="304">
        <v>20</v>
      </c>
      <c r="D12" s="304" t="s">
        <v>291</v>
      </c>
      <c r="E12" s="305" t="str">
        <f t="shared" ca="1" si="8"/>
        <v>R</v>
      </c>
      <c r="F12" s="306"/>
      <c r="G12" s="307">
        <f t="shared" ca="1" si="1"/>
        <v>16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0.10204081632653061</v>
      </c>
      <c r="N12" s="318"/>
      <c r="O12" s="295">
        <f t="shared" ca="1" si="11"/>
        <v>4</v>
      </c>
      <c r="P12" s="296">
        <f t="shared" ca="1" si="12"/>
        <v>0.11428571428571428</v>
      </c>
      <c r="Q12" s="318"/>
      <c r="R12" s="295">
        <f t="shared" ca="1" si="13"/>
        <v>1</v>
      </c>
      <c r="S12" s="296">
        <f t="shared" ca="1" si="14"/>
        <v>7.1428571428571425E-2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Consolidated Edison,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2.0408163265306121E-2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7.1428571428571425E-2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16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49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14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18.959183673469386</v>
      </c>
      <c r="Z14" s="261"/>
      <c r="AA14" s="454">
        <f ca="1">SUM(AA8:AA13)</f>
        <v>49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35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3</v>
      </c>
      <c r="AX15" s="287">
        <f t="shared" si="22"/>
        <v>3.3</v>
      </c>
      <c r="AY15" s="234">
        <f t="shared" si="23"/>
        <v>5</v>
      </c>
      <c r="AZ15" s="236"/>
      <c r="BA15" s="236"/>
      <c r="BC15" s="234">
        <f t="shared" ca="1" si="24"/>
        <v>9</v>
      </c>
      <c r="BD15" s="288">
        <f t="shared" ca="1" si="6"/>
        <v>31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38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18.959183673469386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18.857142857142858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43</v>
      </c>
      <c r="AW16" s="234">
        <f>COUNTIF( AV$7:AV16, AV16 )</f>
        <v>1</v>
      </c>
      <c r="AX16" s="287">
        <f t="shared" si="22"/>
        <v>43.1</v>
      </c>
      <c r="AY16" s="234">
        <f t="shared" si="23"/>
        <v>43</v>
      </c>
      <c r="AZ16" s="236"/>
      <c r="BA16" s="236"/>
      <c r="BC16" s="234">
        <f t="shared" ca="1" si="24"/>
        <v>10</v>
      </c>
      <c r="BD16" s="288">
        <f t="shared" ca="1" si="6"/>
        <v>35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R</v>
      </c>
      <c r="F17" s="306"/>
      <c r="G17" s="307">
        <f t="shared" ca="1" si="1"/>
        <v>41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16</v>
      </c>
      <c r="AW17" s="234">
        <f>COUNTIF( AV$7:AV17, AV17 )</f>
        <v>4</v>
      </c>
      <c r="AX17" s="287">
        <f t="shared" si="22"/>
        <v>16.399999999999999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38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7</v>
      </c>
      <c r="B18" s="304" t="s">
        <v>10</v>
      </c>
      <c r="C18" s="304">
        <v>20</v>
      </c>
      <c r="D18" s="304" t="s">
        <v>327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9" t="s">
        <v>291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Southern Company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SO</v>
      </c>
    </row>
    <row r="19" spans="1:61" ht="13.8" x14ac:dyDescent="0.25">
      <c r="A19" s="303" t="s">
        <v>14</v>
      </c>
      <c r="B19" s="304" t="s">
        <v>10</v>
      </c>
      <c r="C19" s="304">
        <v>20</v>
      </c>
      <c r="D19" s="304" t="s">
        <v>334</v>
      </c>
      <c r="E19" s="305" t="str">
        <f t="shared" ca="1" si="8"/>
        <v>R</v>
      </c>
      <c r="F19" s="306"/>
      <c r="G19" s="307">
        <f t="shared" ca="1" si="1"/>
        <v>47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16</v>
      </c>
      <c r="AW19" s="234">
        <f>COUNTIF( AV$7:AV19, AV19 )</f>
        <v>5</v>
      </c>
      <c r="AX19" s="287">
        <f t="shared" si="22"/>
        <v>16.5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45</v>
      </c>
      <c r="BF19" s="240" t="str">
        <f t="shared" ca="1" si="7"/>
        <v>Vectren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VVC</v>
      </c>
    </row>
    <row r="20" spans="1:61" ht="13.8" x14ac:dyDescent="0.25">
      <c r="A20" s="303" t="s">
        <v>26</v>
      </c>
      <c r="B20" s="304" t="s">
        <v>10</v>
      </c>
      <c r="C20" s="304">
        <v>20</v>
      </c>
      <c r="D20" s="304" t="s">
        <v>335</v>
      </c>
      <c r="E20" s="305" t="str">
        <f t="shared" ca="1" si="8"/>
        <v>R</v>
      </c>
      <c r="F20" s="306"/>
      <c r="G20" s="307">
        <f t="shared" ca="1" si="1"/>
        <v>48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65</v>
      </c>
      <c r="AS20" s="286">
        <v>14</v>
      </c>
      <c r="AT20" s="286" t="s">
        <v>442</v>
      </c>
      <c r="AV20" s="234">
        <f t="shared" si="21"/>
        <v>48</v>
      </c>
      <c r="AW20" s="234">
        <f>COUNTIF( AV$7:AV20, AV20 )</f>
        <v>1</v>
      </c>
      <c r="AX20" s="287">
        <f t="shared" si="22"/>
        <v>48.1</v>
      </c>
      <c r="AY20" s="234">
        <f t="shared" si="23"/>
        <v>48</v>
      </c>
      <c r="AZ20" s="236"/>
      <c r="BA20" s="236"/>
      <c r="BC20" s="234">
        <f t="shared" ca="1" si="24"/>
        <v>14</v>
      </c>
      <c r="BD20" s="288">
        <f t="shared" ca="1" si="6"/>
        <v>47</v>
      </c>
      <c r="BF20" s="240" t="str">
        <f t="shared" ca="1" si="7"/>
        <v>Wisconsin Energy Corporation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WEC</v>
      </c>
    </row>
    <row r="21" spans="1:61" ht="13.8" x14ac:dyDescent="0.25">
      <c r="A21" s="303" t="s">
        <v>257</v>
      </c>
      <c r="B21" s="304" t="s">
        <v>10</v>
      </c>
      <c r="C21" s="304">
        <v>20</v>
      </c>
      <c r="D21" s="304" t="s">
        <v>337</v>
      </c>
      <c r="E21" s="305" t="str">
        <f t="shared" ca="1" si="8"/>
        <v>R</v>
      </c>
      <c r="F21" s="306"/>
      <c r="G21" s="307">
        <f t="shared" ca="1" si="1"/>
        <v>50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16</v>
      </c>
      <c r="AW21" s="234">
        <f>COUNTIF( AV$7:AV21, AV21 )</f>
        <v>6</v>
      </c>
      <c r="AX21" s="287">
        <f t="shared" si="22"/>
        <v>16.600000000000001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48</v>
      </c>
      <c r="BF21" s="240" t="str">
        <f t="shared" ca="1" si="7"/>
        <v>Xcel Energy Inc.</v>
      </c>
      <c r="BG21" s="240" t="str">
        <f t="shared" ca="1" si="7"/>
        <v>A-</v>
      </c>
      <c r="BH21" s="240">
        <f t="shared" ca="1" si="7"/>
        <v>20</v>
      </c>
      <c r="BI21" s="240" t="str">
        <f t="shared" ca="1" si="7"/>
        <v>XEL</v>
      </c>
    </row>
    <row r="22" spans="1:61" ht="13.8" x14ac:dyDescent="0.25">
      <c r="A22" s="303" t="s">
        <v>15</v>
      </c>
      <c r="B22" s="304" t="s">
        <v>16</v>
      </c>
      <c r="C22" s="304">
        <v>19</v>
      </c>
      <c r="D22" s="304" t="s">
        <v>276</v>
      </c>
      <c r="E22" s="305" t="str">
        <f t="shared" ca="1" si="8"/>
        <v>MR</v>
      </c>
      <c r="F22" s="306"/>
      <c r="G22" s="307">
        <f t="shared" ca="1" si="1"/>
        <v>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5</v>
      </c>
      <c r="AX22" s="287">
        <f t="shared" si="22"/>
        <v>3.5</v>
      </c>
      <c r="AY22" s="234">
        <f t="shared" si="23"/>
        <v>7</v>
      </c>
      <c r="AZ22" s="236"/>
      <c r="BA22" s="236"/>
      <c r="BC22" s="234">
        <f t="shared" ca="1" si="24"/>
        <v>16</v>
      </c>
      <c r="BD22" s="288">
        <f t="shared" ca="1" si="6"/>
        <v>1</v>
      </c>
      <c r="BF22" s="240" t="str">
        <f t="shared" ca="1" si="7"/>
        <v>ALLETE,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ALE</v>
      </c>
    </row>
    <row r="23" spans="1:61" ht="13.8" x14ac:dyDescent="0.25">
      <c r="A23" s="303" t="s">
        <v>9</v>
      </c>
      <c r="B23" s="304" t="s">
        <v>16</v>
      </c>
      <c r="C23" s="304">
        <v>19</v>
      </c>
      <c r="D23" s="304" t="s">
        <v>273</v>
      </c>
      <c r="E23" s="305" t="str">
        <f t="shared" ca="1" si="8"/>
        <v>R</v>
      </c>
      <c r="F23" s="306"/>
      <c r="G23" s="307">
        <f t="shared" ca="1" si="1"/>
        <v>9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16</v>
      </c>
      <c r="AW23" s="234">
        <f>COUNTIF( AV$7:AV23, AV23 )</f>
        <v>7</v>
      </c>
      <c r="AX23" s="287">
        <f t="shared" si="22"/>
        <v>16.7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3</v>
      </c>
      <c r="BF23" s="240" t="str">
        <f t="shared" ca="1" si="7"/>
        <v>Ameren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AEE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16</v>
      </c>
      <c r="AW25" s="234">
        <f>COUNTIF( AV$7:AV25, AV25 )</f>
        <v>8</v>
      </c>
      <c r="AX25" s="287">
        <f t="shared" si="22"/>
        <v>16.8</v>
      </c>
      <c r="AY25" s="234">
        <f t="shared" si="23"/>
        <v>23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2</v>
      </c>
      <c r="AX26" s="287">
        <f t="shared" si="22"/>
        <v>1.2</v>
      </c>
      <c r="AY26" s="234">
        <f t="shared" si="23"/>
        <v>2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35</v>
      </c>
      <c r="AW27" s="234">
        <f>COUNTIF( AV$7:AV27, AV27 )</f>
        <v>4</v>
      </c>
      <c r="AX27" s="287">
        <f t="shared" si="22"/>
        <v>35.4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43</v>
      </c>
      <c r="AW28" s="234">
        <f>COUNTIF( AV$7:AV28, AV28 )</f>
        <v>2</v>
      </c>
      <c r="AX28" s="287">
        <f t="shared" si="22"/>
        <v>43.2</v>
      </c>
      <c r="AY28" s="234">
        <f t="shared" si="23"/>
        <v>44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23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16</v>
      </c>
      <c r="AW29" s="234">
        <f>COUNTIF( AV$7:AV29, AV29 )</f>
        <v>9</v>
      </c>
      <c r="AX29" s="287">
        <f t="shared" si="22"/>
        <v>16.899999999999999</v>
      </c>
      <c r="AY29" s="234">
        <f t="shared" si="23"/>
        <v>24</v>
      </c>
      <c r="AZ29" s="236"/>
      <c r="BA29" s="236"/>
      <c r="BC29" s="234">
        <f t="shared" ca="1" si="24"/>
        <v>23</v>
      </c>
      <c r="BD29" s="288">
        <f t="shared" ca="1" si="6"/>
        <v>19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43</v>
      </c>
      <c r="AW30" s="234">
        <f>COUNTIF( AV$7:AV30, AV30 )</f>
        <v>3</v>
      </c>
      <c r="AX30" s="287">
        <f t="shared" si="22"/>
        <v>43.3</v>
      </c>
      <c r="AY30" s="234">
        <f t="shared" si="23"/>
        <v>45</v>
      </c>
      <c r="AZ30" s="236"/>
      <c r="BA30" s="236"/>
      <c r="BC30" s="234">
        <f t="shared" ca="1" si="24"/>
        <v>24</v>
      </c>
      <c r="BD30" s="288">
        <f t="shared" ca="1" si="6"/>
        <v>23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35</v>
      </c>
      <c r="AW31" s="234">
        <f>COUNTIF( AV$7:AV31, AV31 )</f>
        <v>5</v>
      </c>
      <c r="AX31" s="287">
        <f t="shared" si="22"/>
        <v>35.5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27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49</v>
      </c>
      <c r="AS32" s="286">
        <v>17</v>
      </c>
      <c r="AT32" s="286" t="s">
        <v>445</v>
      </c>
      <c r="AV32" s="234">
        <f t="shared" si="21"/>
        <v>43</v>
      </c>
      <c r="AW32" s="234">
        <f>COUNTIF( AV$7:AV32, AV32 )</f>
        <v>4</v>
      </c>
      <c r="AX32" s="287">
        <f t="shared" si="22"/>
        <v>43.4</v>
      </c>
      <c r="AY32" s="234">
        <f t="shared" si="23"/>
        <v>46</v>
      </c>
      <c r="AZ32" s="236"/>
      <c r="BA32" s="236"/>
      <c r="BC32" s="234">
        <f t="shared" ca="1" si="24"/>
        <v>26</v>
      </c>
      <c r="BD32" s="288">
        <f t="shared" ca="1" si="6"/>
        <v>29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556</v>
      </c>
      <c r="B33" s="304" t="s">
        <v>16</v>
      </c>
      <c r="C33" s="304">
        <v>19</v>
      </c>
      <c r="D33" s="304" t="s">
        <v>444</v>
      </c>
      <c r="E33" s="305" t="str">
        <f t="shared" ca="1" si="8"/>
        <v>R</v>
      </c>
      <c r="F33" s="306"/>
      <c r="G33" s="307">
        <f t="shared" ca="1" si="1"/>
        <v>56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si="3"/>
        <v/>
      </c>
      <c r="AH33" s="236" t="str">
        <f t="shared" si="18"/>
        <v/>
      </c>
      <c r="AJ33" s="236">
        <f t="shared" ca="1" si="19"/>
        <v>62</v>
      </c>
      <c r="AK33" s="460" t="s">
        <v>16</v>
      </c>
      <c r="AL33" s="460">
        <v>19</v>
      </c>
      <c r="AM33" s="236" t="str">
        <f t="shared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16</v>
      </c>
      <c r="AW33" s="234">
        <f>COUNTIF( AV$7:AV33, AV33 )</f>
        <v>10</v>
      </c>
      <c r="AX33" s="287">
        <f t="shared" si="22"/>
        <v>17</v>
      </c>
      <c r="AY33" s="234">
        <f t="shared" si="23"/>
        <v>25</v>
      </c>
      <c r="AZ33" s="236"/>
      <c r="BA33" s="236"/>
      <c r="BC33" s="234">
        <f t="shared" ca="1" si="24"/>
        <v>27</v>
      </c>
      <c r="BD33" s="288">
        <f t="shared" ca="1" si="6"/>
        <v>32</v>
      </c>
      <c r="BF33" s="240" t="str">
        <f t="shared" ca="1" si="7"/>
        <v>Oncor Electric Delivery Company LLC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**EFH</v>
      </c>
    </row>
    <row r="34" spans="1:61" ht="13.8" x14ac:dyDescent="0.25">
      <c r="A34" s="303" t="s">
        <v>53</v>
      </c>
      <c r="B34" s="304" t="s">
        <v>16</v>
      </c>
      <c r="C34" s="304">
        <v>19</v>
      </c>
      <c r="D34" s="304" t="s">
        <v>317</v>
      </c>
      <c r="E34" s="305" t="str">
        <f t="shared" ca="1" si="8"/>
        <v>R</v>
      </c>
      <c r="F34" s="306"/>
      <c r="G34" s="307">
        <f t="shared" ca="1" si="1"/>
        <v>37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34</v>
      </c>
      <c r="BF34" s="240" t="str">
        <f t="shared" ca="1" si="7"/>
        <v>PG&amp;E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PCG</v>
      </c>
    </row>
    <row r="35" spans="1:61" ht="13.8" x14ac:dyDescent="0.25">
      <c r="A35" s="303" t="s">
        <v>42</v>
      </c>
      <c r="B35" s="304" t="s">
        <v>16</v>
      </c>
      <c r="C35" s="304">
        <v>19</v>
      </c>
      <c r="D35" s="304" t="s">
        <v>320</v>
      </c>
      <c r="E35" s="305" t="str">
        <f t="shared" ca="1" si="8"/>
        <v>R</v>
      </c>
      <c r="F35" s="306"/>
      <c r="G35" s="307">
        <f t="shared" ca="1" si="1"/>
        <v>39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16</v>
      </c>
      <c r="AW35" s="234">
        <f>COUNTIF( AV$7:AV35, AV35 )</f>
        <v>11</v>
      </c>
      <c r="AX35" s="287">
        <f t="shared" si="22"/>
        <v>17.100000000000001</v>
      </c>
      <c r="AY35" s="234">
        <f t="shared" si="23"/>
        <v>26</v>
      </c>
      <c r="AZ35" s="236"/>
      <c r="BA35" s="236"/>
      <c r="BC35" s="234">
        <f t="shared" ca="1" si="24"/>
        <v>29</v>
      </c>
      <c r="BD35" s="288">
        <f t="shared" ca="1" si="6"/>
        <v>36</v>
      </c>
      <c r="BF35" s="240" t="str">
        <f t="shared" ca="1" si="7"/>
        <v>PNM Resources,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PNM</v>
      </c>
    </row>
    <row r="36" spans="1:61" ht="13.8" x14ac:dyDescent="0.25">
      <c r="A36" s="303" t="s">
        <v>45</v>
      </c>
      <c r="B36" s="304" t="s">
        <v>16</v>
      </c>
      <c r="C36" s="304">
        <v>19</v>
      </c>
      <c r="D36" s="304" t="s">
        <v>318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35</v>
      </c>
      <c r="AW36" s="234">
        <f>COUNTIF( AV$7:AV36, AV36 )</f>
        <v>6</v>
      </c>
      <c r="AX36" s="287">
        <f t="shared" si="22"/>
        <v>35.6</v>
      </c>
      <c r="AY36" s="234">
        <f t="shared" si="23"/>
        <v>40</v>
      </c>
      <c r="AZ36" s="236"/>
      <c r="BA36" s="236"/>
      <c r="BC36" s="234">
        <f t="shared" ca="1" si="24"/>
        <v>30</v>
      </c>
      <c r="BD36" s="288">
        <f t="shared" ca="1" si="6"/>
        <v>39</v>
      </c>
      <c r="BF36" s="240" t="str">
        <f t="shared" ca="1" si="7"/>
        <v>Public Service Enterprise Group Incorporated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PEG</v>
      </c>
    </row>
    <row r="37" spans="1:61" ht="13.8" x14ac:dyDescent="0.25">
      <c r="A37" s="303" t="s">
        <v>13</v>
      </c>
      <c r="B37" s="304" t="s">
        <v>16</v>
      </c>
      <c r="C37" s="304">
        <v>19</v>
      </c>
      <c r="D37" s="304" t="s">
        <v>326</v>
      </c>
      <c r="E37" s="305" t="str">
        <f t="shared" ca="1" si="8"/>
        <v>MR</v>
      </c>
      <c r="F37" s="306"/>
      <c r="G37" s="307">
        <f t="shared" ca="1" si="1"/>
        <v>43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10</v>
      </c>
      <c r="AS37" s="286">
        <v>20</v>
      </c>
      <c r="AT37" s="286" t="s">
        <v>315</v>
      </c>
      <c r="AV37" s="234">
        <f t="shared" si="21"/>
        <v>3</v>
      </c>
      <c r="AW37" s="234">
        <f>COUNTIF( AV$7:AV37, AV37 )</f>
        <v>7</v>
      </c>
      <c r="AX37" s="287">
        <f t="shared" si="22"/>
        <v>3.7</v>
      </c>
      <c r="AY37" s="234">
        <f t="shared" si="23"/>
        <v>9</v>
      </c>
      <c r="AZ37" s="236"/>
      <c r="BA37" s="236"/>
      <c r="BC37" s="234">
        <f t="shared" ca="1" si="24"/>
        <v>31</v>
      </c>
      <c r="BD37" s="288">
        <f t="shared" ca="1" si="6"/>
        <v>41</v>
      </c>
      <c r="BF37" s="240" t="str">
        <f t="shared" ca="1" si="7"/>
        <v>SCANA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SCG</v>
      </c>
    </row>
    <row r="38" spans="1:61" ht="13.8" x14ac:dyDescent="0.25">
      <c r="A38" s="303" t="s">
        <v>25</v>
      </c>
      <c r="B38" s="304" t="s">
        <v>16</v>
      </c>
      <c r="C38" s="304">
        <v>19</v>
      </c>
      <c r="D38" s="304" t="s">
        <v>328</v>
      </c>
      <c r="E38" s="305" t="str">
        <f t="shared" ca="1" si="8"/>
        <v>MR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556</v>
      </c>
      <c r="AR38" s="286" t="s">
        <v>16</v>
      </c>
      <c r="AS38" s="286">
        <v>19</v>
      </c>
      <c r="AT38" s="286" t="s">
        <v>444</v>
      </c>
      <c r="AV38" s="234">
        <f t="shared" si="21"/>
        <v>16</v>
      </c>
      <c r="AW38" s="234">
        <f>COUNTIF( AV$7:AV38, AV38 )</f>
        <v>12</v>
      </c>
      <c r="AX38" s="287">
        <f t="shared" si="22"/>
        <v>17.2</v>
      </c>
      <c r="AY38" s="234">
        <f t="shared" si="23"/>
        <v>27</v>
      </c>
      <c r="AZ38" s="236"/>
      <c r="BA38" s="236"/>
      <c r="BC38" s="234">
        <f t="shared" ca="1" si="24"/>
        <v>32</v>
      </c>
      <c r="BD38" s="288">
        <f t="shared" ca="1" si="6"/>
        <v>42</v>
      </c>
      <c r="BF38" s="240" t="str">
        <f t="shared" ca="1" si="7"/>
        <v>Sempra Energy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SRE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7</v>
      </c>
      <c r="AX39" s="287">
        <f t="shared" si="22"/>
        <v>35.700000000000003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44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49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16</v>
      </c>
      <c r="AW40" s="234">
        <f>COUNTIF( AV$7:AV40, AV40 )</f>
        <v>13</v>
      </c>
      <c r="AX40" s="287">
        <f t="shared" si="22"/>
        <v>17.3</v>
      </c>
      <c r="AY40" s="234">
        <f t="shared" si="23"/>
        <v>28</v>
      </c>
      <c r="AZ40" s="236"/>
      <c r="BA40" s="236"/>
      <c r="BC40" s="234">
        <f t="shared" ca="1" si="24"/>
        <v>34</v>
      </c>
      <c r="BD40" s="288">
        <f t="shared" ca="1" si="6"/>
        <v>46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8</v>
      </c>
      <c r="AX41" s="287">
        <f t="shared" si="22"/>
        <v>3.8</v>
      </c>
      <c r="AY41" s="234">
        <f t="shared" si="23"/>
        <v>10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16</v>
      </c>
      <c r="AW42" s="234">
        <f>COUNTIF( AV$7:AV42, AV42 )</f>
        <v>14</v>
      </c>
      <c r="AX42" s="287">
        <f t="shared" si="22"/>
        <v>17.399999999999999</v>
      </c>
      <c r="AY42" s="234">
        <f t="shared" si="23"/>
        <v>29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9" t="s">
        <v>323</v>
      </c>
      <c r="AV43" s="234">
        <f t="shared" si="21"/>
        <v>35</v>
      </c>
      <c r="AW43" s="234">
        <f>COUNTIF( AV$7:AV43, AV43 )</f>
        <v>8</v>
      </c>
      <c r="AX43" s="287">
        <f t="shared" si="22"/>
        <v>35.799999999999997</v>
      </c>
      <c r="AY43" s="234">
        <f t="shared" si="23"/>
        <v>42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9</v>
      </c>
      <c r="AX44" s="287">
        <f t="shared" si="22"/>
        <v>3.9</v>
      </c>
      <c r="AY44" s="234">
        <f t="shared" si="23"/>
        <v>11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16</v>
      </c>
      <c r="AW45" s="234">
        <f>COUNTIF( AV$7:AV45, AV45 )</f>
        <v>15</v>
      </c>
      <c r="AX45" s="287">
        <f t="shared" si="22"/>
        <v>17.5</v>
      </c>
      <c r="AY45" s="234">
        <f t="shared" si="23"/>
        <v>30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43</v>
      </c>
      <c r="AW46" s="234">
        <f>COUNTIF( AV$7:AV46, AV46 )</f>
        <v>5</v>
      </c>
      <c r="AX46" s="287">
        <f t="shared" si="22"/>
        <v>43.5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30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36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16</v>
      </c>
      <c r="AW47" s="234">
        <f>COUNTIF( AV$7:AV47, AV47 )</f>
        <v>16</v>
      </c>
      <c r="AX47" s="287">
        <f t="shared" si="22"/>
        <v>17.600000000000001</v>
      </c>
      <c r="AY47" s="234">
        <f t="shared" si="23"/>
        <v>31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24</v>
      </c>
      <c r="B48" s="304" t="s">
        <v>28</v>
      </c>
      <c r="C48" s="304">
        <v>18</v>
      </c>
      <c r="D48" s="304" t="s">
        <v>323</v>
      </c>
      <c r="E48" s="305" t="str">
        <f t="shared" ca="1" si="8"/>
        <v>R</v>
      </c>
      <c r="F48" s="306"/>
      <c r="G48" s="307">
        <f t="shared" ca="1" si="1"/>
        <v>40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16</v>
      </c>
      <c r="AW48" s="234">
        <f>COUNTIF( AV$7:AV48, AV48 )</f>
        <v>17</v>
      </c>
      <c r="AX48" s="287">
        <f t="shared" si="22"/>
        <v>17.7</v>
      </c>
      <c r="AY48" s="234">
        <f t="shared" si="23"/>
        <v>32</v>
      </c>
      <c r="AZ48" s="236"/>
      <c r="BA48" s="236"/>
      <c r="BC48" s="234">
        <f t="shared" ca="1" si="24"/>
        <v>42</v>
      </c>
      <c r="BD48" s="288">
        <f t="shared" ca="1" si="6"/>
        <v>37</v>
      </c>
      <c r="BF48" s="240" t="str">
        <f t="shared" ca="1" si="25"/>
        <v>Portland General Electric Company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POR</v>
      </c>
    </row>
    <row r="49" spans="1:61" ht="13.8" x14ac:dyDescent="0.25">
      <c r="A49" s="303" t="s">
        <v>30</v>
      </c>
      <c r="B49" s="304" t="s">
        <v>49</v>
      </c>
      <c r="C49" s="304">
        <v>17</v>
      </c>
      <c r="D49" s="304" t="s">
        <v>540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10</v>
      </c>
      <c r="BF49" s="240" t="str">
        <f t="shared" ca="1" si="25"/>
        <v>Cleco Corporation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**CNL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8"/>
        <v>R</v>
      </c>
      <c r="F50" s="306"/>
      <c r="G50" s="307">
        <f t="shared" ca="1" si="1"/>
        <v>26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76</v>
      </c>
      <c r="AR50" s="286" t="s">
        <v>16</v>
      </c>
      <c r="AS50" s="286">
        <v>19</v>
      </c>
      <c r="AT50" s="286" t="s">
        <v>333</v>
      </c>
      <c r="AV50" s="234">
        <f t="shared" si="21"/>
        <v>16</v>
      </c>
      <c r="AW50" s="234">
        <f>COUNTIF( AV$7:AV50, AV50 )</f>
        <v>18</v>
      </c>
      <c r="AX50" s="287">
        <f t="shared" si="22"/>
        <v>17.8</v>
      </c>
      <c r="AY50" s="234">
        <f t="shared" si="23"/>
        <v>33</v>
      </c>
      <c r="AZ50" s="236"/>
      <c r="BA50" s="236"/>
      <c r="BC50" s="234">
        <f t="shared" ca="1" si="24"/>
        <v>44</v>
      </c>
      <c r="BD50" s="288">
        <f t="shared" ca="1" si="6"/>
        <v>22</v>
      </c>
      <c r="BF50" s="240" t="str">
        <f t="shared" ca="1" si="25"/>
        <v>FirstEnergy Corp.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8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14</v>
      </c>
      <c r="AR51" s="286" t="s">
        <v>10</v>
      </c>
      <c r="AS51" s="286">
        <v>20</v>
      </c>
      <c r="AT51" s="286" t="s">
        <v>334</v>
      </c>
      <c r="AV51" s="234">
        <f t="shared" si="21"/>
        <v>3</v>
      </c>
      <c r="AW51" s="234">
        <f>COUNTIF( AV$7:AV51, AV51 )</f>
        <v>11</v>
      </c>
      <c r="AX51" s="287">
        <f t="shared" si="22"/>
        <v>4.0999999999999996</v>
      </c>
      <c r="AY51" s="234">
        <f t="shared" si="23"/>
        <v>13</v>
      </c>
      <c r="AZ51" s="236"/>
      <c r="BA51" s="236"/>
      <c r="BC51" s="234">
        <f t="shared" ca="1" si="24"/>
        <v>45</v>
      </c>
      <c r="BD51" s="288">
        <f t="shared" ca="1" si="6"/>
        <v>24</v>
      </c>
      <c r="BF51" s="240" t="str">
        <f t="shared" ca="1" si="25"/>
        <v>Hawaiian Electric Industries, Inc.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8"/>
        <v>R</v>
      </c>
      <c r="F52" s="306"/>
      <c r="G52" s="307">
        <f t="shared" ca="1" si="1"/>
        <v>57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59</v>
      </c>
      <c r="AR52" s="286" t="s">
        <v>16</v>
      </c>
      <c r="AS52" s="286">
        <v>19</v>
      </c>
      <c r="AT52" s="286" t="s">
        <v>336</v>
      </c>
      <c r="AV52" s="234">
        <f t="shared" si="21"/>
        <v>16</v>
      </c>
      <c r="AW52" s="234">
        <f>COUNTIF( AV$7:AV52, AV52 )</f>
        <v>19</v>
      </c>
      <c r="AX52" s="287">
        <f t="shared" si="22"/>
        <v>17.899999999999999</v>
      </c>
      <c r="AY52" s="234">
        <f t="shared" si="23"/>
        <v>34</v>
      </c>
      <c r="AZ52" s="236"/>
      <c r="BA52" s="236"/>
      <c r="BC52" s="234">
        <f t="shared" ca="1" si="24"/>
        <v>46</v>
      </c>
      <c r="BD52" s="288">
        <f t="shared" ca="1" si="6"/>
        <v>26</v>
      </c>
      <c r="BF52" s="240" t="str">
        <f t="shared" ca="1" si="25"/>
        <v>IPALCO Enterprises,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**IPALCO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26</v>
      </c>
      <c r="AR53" s="286" t="s">
        <v>10</v>
      </c>
      <c r="AS53" s="286">
        <v>20</v>
      </c>
      <c r="AT53" s="286" t="s">
        <v>335</v>
      </c>
      <c r="AV53" s="234">
        <f t="shared" si="21"/>
        <v>3</v>
      </c>
      <c r="AW53" s="234">
        <f>COUNTIF( AV$7:AV53, AV53 )</f>
        <v>12</v>
      </c>
      <c r="AX53" s="287">
        <f t="shared" si="22"/>
        <v>4.2</v>
      </c>
      <c r="AY53" s="234">
        <f t="shared" si="23"/>
        <v>14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64</v>
      </c>
      <c r="B54" s="304" t="s">
        <v>65</v>
      </c>
      <c r="C54" s="304">
        <v>14</v>
      </c>
      <c r="D54" s="304" t="s">
        <v>442</v>
      </c>
      <c r="E54" s="305" t="str">
        <f t="shared" ca="1" si="8"/>
        <v>MR</v>
      </c>
      <c r="F54" s="306"/>
      <c r="G54" s="307">
        <f t="shared" ca="1" si="1"/>
        <v>55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>
        <f t="shared" ca="1" si="18"/>
        <v>1</v>
      </c>
      <c r="AJ54" s="236">
        <f t="shared" ca="1" si="19"/>
        <v>55</v>
      </c>
      <c r="AK54" s="236" t="str">
        <f t="shared" ca="1" si="20"/>
        <v>BB</v>
      </c>
      <c r="AL54" s="236">
        <f t="shared" ca="1" si="20"/>
        <v>15</v>
      </c>
      <c r="AM54" s="236" t="str">
        <f t="shared" ca="1" si="4"/>
        <v>Change</v>
      </c>
      <c r="AQ54" s="286" t="s">
        <v>257</v>
      </c>
      <c r="AR54" s="286" t="s">
        <v>10</v>
      </c>
      <c r="AS54" s="286">
        <v>20</v>
      </c>
      <c r="AT54" s="286" t="s">
        <v>337</v>
      </c>
      <c r="AV54" s="234">
        <f t="shared" si="21"/>
        <v>3</v>
      </c>
      <c r="AW54" s="234">
        <f>COUNTIF( AV$7:AV54, AV54 )</f>
        <v>13</v>
      </c>
      <c r="AX54" s="287">
        <f t="shared" si="22"/>
        <v>4.3</v>
      </c>
      <c r="AY54" s="234">
        <f t="shared" si="23"/>
        <v>15</v>
      </c>
      <c r="AZ54" s="236"/>
      <c r="BA54" s="236"/>
      <c r="BC54" s="234">
        <f t="shared" ca="1" si="24"/>
        <v>48</v>
      </c>
      <c r="BD54" s="288">
        <f t="shared" ca="1" si="6"/>
        <v>14</v>
      </c>
      <c r="BF54" s="240" t="str">
        <f t="shared" ca="1" si="25"/>
        <v>DPL Inc.</v>
      </c>
      <c r="BG54" s="240" t="str">
        <f t="shared" ca="1" si="25"/>
        <v>BB-</v>
      </c>
      <c r="BH54" s="240">
        <f t="shared" ca="1" si="25"/>
        <v>14</v>
      </c>
      <c r="BI54" s="240" t="str">
        <f t="shared" ca="1" si="25"/>
        <v>**DPL</v>
      </c>
    </row>
    <row r="55" spans="1:61" ht="13.8" x14ac:dyDescent="0.25">
      <c r="A55" s="303"/>
      <c r="B55" s="304"/>
      <c r="C55" s="304"/>
      <c r="D55" s="304"/>
      <c r="E55" s="305" t="str">
        <f t="shared" ca="1" si="8"/>
        <v/>
      </c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1</v>
      </c>
      <c r="AX55" s="287">
        <f t="shared" si="22"/>
        <v>99.1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2</v>
      </c>
      <c r="AX56" s="287">
        <f t="shared" si="22"/>
        <v>99.2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3</v>
      </c>
      <c r="AX57" s="287">
        <f t="shared" si="22"/>
        <v>99.3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4</v>
      </c>
      <c r="AX58" s="287">
        <f t="shared" si="22"/>
        <v>99.4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5</v>
      </c>
      <c r="AX59" s="287">
        <f t="shared" si="22"/>
        <v>99.5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6</v>
      </c>
      <c r="AX60" s="287">
        <f t="shared" si="22"/>
        <v>99.6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7</v>
      </c>
      <c r="AX61" s="287">
        <f t="shared" si="22"/>
        <v>99.7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8</v>
      </c>
      <c r="AX62" s="287">
        <f t="shared" si="22"/>
        <v>99.8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9</v>
      </c>
      <c r="AX63" s="287">
        <f t="shared" si="22"/>
        <v>99.9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18.959183673469386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18.959183673469386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'Credit_2016Q3'!d:d</v>
      </c>
      <c r="AK2" s="240" t="str">
        <f>AK4 &amp; AK3</f>
        <v>'Credit_2016Q3'!b1</v>
      </c>
      <c r="AL2" s="240" t="str">
        <f>AL4 &amp; AL3</f>
        <v>'Credit_2016Q3'!c1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'Credit_2016Q3'!</v>
      </c>
      <c r="AK4" s="236" t="str">
        <f t="shared" ref="AK4:AL4" si="0">$AQ$5</f>
        <v>'Credit_2016Q3'!</v>
      </c>
      <c r="AL4" s="236" t="str">
        <f t="shared" si="0"/>
        <v>'Credit_2016Q3'!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(50)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(12)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544</v>
      </c>
    </row>
    <row r="6" spans="1:61" ht="28.5" customHeight="1" x14ac:dyDescent="0.25">
      <c r="A6" s="299" t="s">
        <v>0</v>
      </c>
      <c r="B6" s="300" t="s">
        <v>536</v>
      </c>
      <c r="C6" s="338" t="s">
        <v>470</v>
      </c>
      <c r="D6" s="301"/>
      <c r="E6" s="302">
        <f ca="1">INDIRECT( E3 &amp; G1 )</f>
        <v>42369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3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18.940000000000001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17.5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9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9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92D050"/>
    <pageSetUpPr fitToPage="1"/>
  </sheetPr>
  <dimension ref="C1:V19"/>
  <sheetViews>
    <sheetView showGridLines="0" zoomScale="90" zoomScaleNormal="90" workbookViewId="0"/>
  </sheetViews>
  <sheetFormatPr defaultColWidth="9.109375" defaultRowHeight="13.2" x14ac:dyDescent="0.25"/>
  <cols>
    <col min="1" max="2" width="2.6640625" style="1" customWidth="1"/>
    <col min="3" max="3" width="25.109375" style="1" customWidth="1"/>
    <col min="4" max="8" width="9.109375" style="1"/>
    <col min="9" max="10" width="8.44140625" style="1" customWidth="1"/>
    <col min="11" max="16384" width="9.109375" style="1"/>
  </cols>
  <sheetData>
    <row r="1" spans="3:22" ht="17.399999999999999" x14ac:dyDescent="0.3">
      <c r="C1" s="18" t="s">
        <v>271</v>
      </c>
      <c r="D1" s="4"/>
      <c r="E1" s="4"/>
      <c r="F1" s="4"/>
      <c r="G1" s="4"/>
    </row>
    <row r="2" spans="3:22" ht="17.399999999999999" x14ac:dyDescent="0.3">
      <c r="C2" s="18"/>
      <c r="D2" s="4"/>
      <c r="E2" s="4"/>
      <c r="F2" s="4"/>
      <c r="G2" s="4"/>
    </row>
    <row r="3" spans="3:22" ht="17.399999999999999" x14ac:dyDescent="0.3">
      <c r="C3" s="18"/>
      <c r="D3" s="4"/>
      <c r="E3" s="4"/>
      <c r="F3" s="4"/>
      <c r="G3" s="4"/>
    </row>
    <row r="5" spans="3:22" x14ac:dyDescent="0.25">
      <c r="C5" s="493" t="s">
        <v>216</v>
      </c>
      <c r="D5" s="493"/>
      <c r="E5" s="493"/>
      <c r="F5" s="493"/>
      <c r="G5" s="494"/>
      <c r="H5" s="494"/>
      <c r="I5" s="494"/>
      <c r="J5" s="15"/>
    </row>
    <row r="6" spans="3:22" x14ac:dyDescent="0.25">
      <c r="C6" s="55"/>
      <c r="D6" s="55"/>
      <c r="E6" s="55"/>
      <c r="F6" s="55"/>
      <c r="G6" s="55"/>
      <c r="H6" s="55"/>
      <c r="I6" s="55"/>
    </row>
    <row r="7" spans="3:22" x14ac:dyDescent="0.25">
      <c r="C7" s="491" t="s">
        <v>557</v>
      </c>
      <c r="D7" s="492"/>
      <c r="E7" s="492"/>
      <c r="F7" s="492"/>
      <c r="G7" s="56"/>
      <c r="H7" s="56"/>
      <c r="I7" s="55"/>
    </row>
    <row r="8" spans="3:22" x14ac:dyDescent="0.25">
      <c r="C8" s="55"/>
      <c r="D8" s="55"/>
      <c r="E8" s="55"/>
      <c r="F8" s="55"/>
      <c r="G8" s="55"/>
      <c r="H8" s="55"/>
      <c r="I8" s="57"/>
    </row>
    <row r="9" spans="3:22" x14ac:dyDescent="0.25">
      <c r="C9" s="54" t="s">
        <v>217</v>
      </c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1">
        <v>2008</v>
      </c>
      <c r="K9" s="61">
        <v>2009</v>
      </c>
      <c r="L9" s="61">
        <v>2010</v>
      </c>
      <c r="M9" s="61">
        <v>2011</v>
      </c>
      <c r="N9" s="61">
        <v>2012</v>
      </c>
      <c r="O9" s="61">
        <v>2013</v>
      </c>
      <c r="P9" s="61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x14ac:dyDescent="0.25">
      <c r="C10" s="55"/>
      <c r="D10" s="61"/>
      <c r="E10" s="61"/>
      <c r="F10" s="61"/>
      <c r="G10" s="55"/>
      <c r="H10" s="55"/>
      <c r="I10" s="57"/>
      <c r="J10" s="55"/>
      <c r="K10" s="55"/>
    </row>
    <row r="11" spans="3:22" x14ac:dyDescent="0.25">
      <c r="C11" s="420" t="s">
        <v>89</v>
      </c>
      <c r="D11" s="412">
        <v>57</v>
      </c>
      <c r="E11" s="412">
        <v>62</v>
      </c>
      <c r="F11" s="412">
        <v>34</v>
      </c>
      <c r="G11" s="412">
        <v>22</v>
      </c>
      <c r="H11" s="413">
        <v>31</v>
      </c>
      <c r="I11" s="413">
        <v>41</v>
      </c>
      <c r="J11" s="413">
        <v>17</v>
      </c>
      <c r="K11" s="413">
        <v>14</v>
      </c>
      <c r="L11" s="413">
        <v>24</v>
      </c>
      <c r="M11" s="413">
        <f>'II. Upgrades &amp; Downgrades'!AS50</f>
        <v>25</v>
      </c>
      <c r="N11" s="413">
        <f>'II. Upgrades &amp; Downgrades'!AW50</f>
        <v>26</v>
      </c>
      <c r="O11" s="413">
        <f>'II. Upgrades &amp; Downgrades'!BA50</f>
        <v>23</v>
      </c>
      <c r="P11" s="413">
        <f>'II. Upgrades &amp; Downgrades'!BE50</f>
        <v>14</v>
      </c>
      <c r="Q11" s="413">
        <f>'II. Upgrades &amp; Downgrades'!BI50</f>
        <v>11</v>
      </c>
      <c r="R11" s="413">
        <f>'II. Upgrades &amp; Downgrades'!BM50</f>
        <v>16</v>
      </c>
      <c r="S11" s="413">
        <f>'II. Upgrades &amp; Downgrades'!BQ50</f>
        <v>15</v>
      </c>
      <c r="T11" s="413">
        <f>'II. Upgrades &amp; Downgrades'!BU50</f>
        <v>33</v>
      </c>
      <c r="U11" s="413">
        <f>'II. Upgrades &amp; Downgrades'!BY50</f>
        <v>36</v>
      </c>
      <c r="V11" s="413">
        <f>'II. Upgrades &amp; Downgrades'!CC50</f>
        <v>1</v>
      </c>
    </row>
    <row r="12" spans="3:22" x14ac:dyDescent="0.25">
      <c r="C12" s="419" t="s">
        <v>218</v>
      </c>
      <c r="D12" s="405">
        <v>118</v>
      </c>
      <c r="E12" s="405">
        <v>79</v>
      </c>
      <c r="F12" s="405">
        <v>42</v>
      </c>
      <c r="G12" s="405">
        <v>46</v>
      </c>
      <c r="H12" s="406">
        <v>39</v>
      </c>
      <c r="I12" s="406">
        <v>32</v>
      </c>
      <c r="J12" s="406">
        <v>6</v>
      </c>
      <c r="K12" s="406">
        <v>23</v>
      </c>
      <c r="L12" s="406">
        <v>20</v>
      </c>
      <c r="M12" s="406">
        <f>'II. Upgrades &amp; Downgrades'!AS51</f>
        <v>11</v>
      </c>
      <c r="N12" s="406">
        <f>'II. Upgrades &amp; Downgrades'!AW51</f>
        <v>20</v>
      </c>
      <c r="O12" s="406">
        <f>'II. Upgrades &amp; Downgrades'!BA51</f>
        <v>17</v>
      </c>
      <c r="P12" s="406">
        <f>'II. Upgrades &amp; Downgrades'!BE51</f>
        <v>85</v>
      </c>
      <c r="Q12" s="406">
        <f>'II. Upgrades &amp; Downgrades'!BI51</f>
        <v>12</v>
      </c>
      <c r="R12" s="406">
        <f>'II. Upgrades &amp; Downgrades'!BM51</f>
        <v>13</v>
      </c>
      <c r="S12" s="406">
        <f>'II. Upgrades &amp; Downgrades'!BQ51</f>
        <v>12</v>
      </c>
      <c r="T12" s="406">
        <f>'II. Upgrades &amp; Downgrades'!BU51</f>
        <v>23</v>
      </c>
      <c r="U12" s="406">
        <f>'II. Upgrades &amp; Downgrades'!BY51</f>
        <v>20</v>
      </c>
      <c r="V12" s="406">
        <f>'II. Upgrades &amp; Downgrades'!CC51</f>
        <v>4</v>
      </c>
    </row>
    <row r="13" spans="3:22" x14ac:dyDescent="0.25">
      <c r="C13" s="421" t="s">
        <v>98</v>
      </c>
      <c r="D13" s="418">
        <v>125</v>
      </c>
      <c r="E13" s="418">
        <v>112</v>
      </c>
      <c r="F13" s="417">
        <v>34</v>
      </c>
      <c r="G13" s="417">
        <v>53</v>
      </c>
      <c r="H13" s="418">
        <v>40</v>
      </c>
      <c r="I13" s="418">
        <v>48</v>
      </c>
      <c r="J13" s="418">
        <v>27</v>
      </c>
      <c r="K13" s="418">
        <v>20</v>
      </c>
      <c r="L13" s="418">
        <v>36</v>
      </c>
      <c r="M13" s="418">
        <f>'II. Upgrades &amp; Downgrades'!AS52</f>
        <v>24</v>
      </c>
      <c r="N13" s="418">
        <f>'II. Upgrades &amp; Downgrades'!AW52</f>
        <v>30</v>
      </c>
      <c r="O13" s="418">
        <f>'II. Upgrades &amp; Downgrades'!BA52</f>
        <v>40</v>
      </c>
      <c r="P13" s="418">
        <f>'II. Upgrades &amp; Downgrades'!BE52</f>
        <v>7</v>
      </c>
      <c r="Q13" s="418">
        <f>'II. Upgrades &amp; Downgrades'!BI52</f>
        <v>27</v>
      </c>
      <c r="R13" s="418">
        <f>'II. Upgrades &amp; Downgrades'!BM52</f>
        <v>38</v>
      </c>
      <c r="S13" s="418">
        <f>'II. Upgrades &amp; Downgrades'!BQ52</f>
        <v>25</v>
      </c>
      <c r="T13" s="418">
        <f>'II. Upgrades &amp; Downgrades'!BU52</f>
        <v>37</v>
      </c>
      <c r="U13" s="418">
        <f>'II. Upgrades &amp; Downgrades'!BY52</f>
        <v>34</v>
      </c>
      <c r="V13" s="418">
        <f>'II. Upgrades &amp; Downgrades'!CC52</f>
        <v>0</v>
      </c>
    </row>
    <row r="14" spans="3:22" s="175" customFormat="1" x14ac:dyDescent="0.25">
      <c r="C14" s="407" t="s">
        <v>219</v>
      </c>
      <c r="D14" s="408">
        <f t="shared" ref="D14:J14" si="0">SUM(D11:D13)</f>
        <v>300</v>
      </c>
      <c r="E14" s="408">
        <f t="shared" si="0"/>
        <v>253</v>
      </c>
      <c r="F14" s="407">
        <f t="shared" si="0"/>
        <v>110</v>
      </c>
      <c r="G14" s="407">
        <f t="shared" si="0"/>
        <v>121</v>
      </c>
      <c r="H14" s="407">
        <f t="shared" si="0"/>
        <v>110</v>
      </c>
      <c r="I14" s="408">
        <f t="shared" si="0"/>
        <v>121</v>
      </c>
      <c r="J14" s="408">
        <f t="shared" si="0"/>
        <v>50</v>
      </c>
      <c r="K14" s="408">
        <f t="shared" ref="K14:T14" si="1">SUM(K11:K13)</f>
        <v>57</v>
      </c>
      <c r="L14" s="408">
        <f t="shared" si="1"/>
        <v>80</v>
      </c>
      <c r="M14" s="408">
        <f t="shared" si="1"/>
        <v>60</v>
      </c>
      <c r="N14" s="408">
        <f t="shared" si="1"/>
        <v>76</v>
      </c>
      <c r="O14" s="408">
        <f t="shared" si="1"/>
        <v>80</v>
      </c>
      <c r="P14" s="408">
        <f t="shared" ref="P14:R14" si="2">SUM(P11:P13)</f>
        <v>106</v>
      </c>
      <c r="Q14" s="408">
        <f t="shared" si="2"/>
        <v>50</v>
      </c>
      <c r="R14" s="408">
        <f t="shared" si="2"/>
        <v>67</v>
      </c>
      <c r="S14" s="408">
        <f t="shared" ref="S14" si="3">SUM(S11:S13)</f>
        <v>52</v>
      </c>
      <c r="T14" s="408">
        <f t="shared" si="1"/>
        <v>93</v>
      </c>
      <c r="U14" s="408">
        <f>'II. Upgrades &amp; Downgrades'!BY53</f>
        <v>90</v>
      </c>
      <c r="V14" s="408">
        <f>'II. Upgrades &amp; Downgrades'!CC53</f>
        <v>5</v>
      </c>
    </row>
    <row r="15" spans="3:22" x14ac:dyDescent="0.25">
      <c r="C15" s="55"/>
      <c r="D15" s="55"/>
      <c r="E15" s="55"/>
      <c r="F15" s="55"/>
      <c r="G15" s="55"/>
      <c r="H15" s="55"/>
      <c r="I15" s="55"/>
    </row>
    <row r="16" spans="3:22" x14ac:dyDescent="0.25">
      <c r="C16" s="54" t="s">
        <v>548</v>
      </c>
      <c r="D16" s="55"/>
      <c r="E16" s="55"/>
      <c r="F16" s="55"/>
      <c r="G16" s="55"/>
      <c r="H16" s="55"/>
      <c r="I16" s="55"/>
    </row>
    <row r="17" spans="3:9" x14ac:dyDescent="0.25">
      <c r="C17" s="70"/>
      <c r="D17" s="55"/>
      <c r="E17" s="55"/>
      <c r="F17" s="55"/>
      <c r="G17" s="55"/>
      <c r="H17" s="55"/>
      <c r="I17" s="55"/>
    </row>
    <row r="18" spans="3:9" x14ac:dyDescent="0.25">
      <c r="C18" s="55"/>
      <c r="D18" s="55"/>
      <c r="E18" s="55"/>
      <c r="F18" s="55"/>
      <c r="G18" s="55"/>
      <c r="H18" s="55"/>
      <c r="I18" s="55"/>
    </row>
    <row r="19" spans="3:9" x14ac:dyDescent="0.25">
      <c r="C19" s="55"/>
      <c r="D19" s="55"/>
      <c r="E19" s="55"/>
      <c r="F19" s="55"/>
      <c r="G19" s="55"/>
      <c r="H19" s="55"/>
      <c r="I19" s="55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'Credit_2016Q2'!d:d</v>
      </c>
      <c r="AK2" s="240" t="str">
        <f>AK4 &amp; AK3</f>
        <v>'Credit_2016Q2'!b1</v>
      </c>
      <c r="AL2" s="240" t="str">
        <f>AL4 &amp; AL3</f>
        <v>'Credit_2016Q2'!c1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'Credit_2016Q2'!</v>
      </c>
      <c r="AK4" s="236" t="str">
        <f t="shared" ref="AK4:AL4" si="0">$AQ$5</f>
        <v>'Credit_2016Q2'!</v>
      </c>
      <c r="AL4" s="236" t="str">
        <f t="shared" si="0"/>
        <v>'Credit_2016Q2'!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(50)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(12)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542</v>
      </c>
    </row>
    <row r="6" spans="1:61" ht="28.5" customHeight="1" x14ac:dyDescent="0.25">
      <c r="A6" s="299" t="s">
        <v>0</v>
      </c>
      <c r="B6" s="300" t="s">
        <v>535</v>
      </c>
      <c r="C6" s="338" t="s">
        <v>470</v>
      </c>
      <c r="D6" s="301"/>
      <c r="E6" s="302">
        <f ca="1">INDIRECT( E3 &amp; G1 )</f>
        <v>42369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20</v>
      </c>
      <c r="M10" s="296">
        <f t="shared" si="10"/>
        <v>0.4</v>
      </c>
      <c r="N10" s="318"/>
      <c r="O10" s="295">
        <f t="shared" ca="1" si="11"/>
        <v>13</v>
      </c>
      <c r="P10" s="296">
        <f t="shared" ca="1" si="12"/>
        <v>0.3611111111111111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20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16</v>
      </c>
      <c r="AS10" s="286">
        <v>19</v>
      </c>
      <c r="AT10" s="286" t="s">
        <v>274</v>
      </c>
      <c r="AV10" s="234">
        <f t="shared" si="21"/>
        <v>15</v>
      </c>
      <c r="AW10" s="234">
        <f>COUNTIF( AV$7:AV10, AV10 )</f>
        <v>3</v>
      </c>
      <c r="AX10" s="287">
        <f t="shared" si="22"/>
        <v>15.3</v>
      </c>
      <c r="AY10" s="234">
        <f t="shared" si="23"/>
        <v>17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9</v>
      </c>
      <c r="M11" s="296">
        <f t="shared" si="10"/>
        <v>0.18</v>
      </c>
      <c r="N11" s="318"/>
      <c r="O11" s="295">
        <f t="shared" ca="1" si="11"/>
        <v>8</v>
      </c>
      <c r="P11" s="296">
        <f t="shared" ca="1" si="12"/>
        <v>0.22222222222222221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4</v>
      </c>
      <c r="AX11" s="287">
        <f t="shared" si="22"/>
        <v>15.4</v>
      </c>
      <c r="AY11" s="234">
        <f t="shared" si="23"/>
        <v>18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35</v>
      </c>
      <c r="AW12" s="234">
        <f>COUNTIF( AV$7:AV12, AV12 )</f>
        <v>1</v>
      </c>
      <c r="AX12" s="287">
        <f t="shared" si="22"/>
        <v>35.1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18.920000000000002</v>
      </c>
      <c r="Z14" s="261"/>
      <c r="AA14" s="452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35</v>
      </c>
      <c r="AW14" s="234">
        <f>COUNTIF( AV$7:AV14, AV14 )</f>
        <v>2</v>
      </c>
      <c r="AX14" s="287">
        <f t="shared" si="22"/>
        <v>35.200000000000003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18.940000000000001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17.5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6</v>
      </c>
      <c r="AX19" s="287">
        <f t="shared" si="22"/>
        <v>15.6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7</v>
      </c>
      <c r="AX21" s="287">
        <f t="shared" si="22"/>
        <v>15.7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258</v>
      </c>
      <c r="B23" s="304" t="s">
        <v>16</v>
      </c>
      <c r="C23" s="304">
        <v>19</v>
      </c>
      <c r="D23" s="304" t="s">
        <v>274</v>
      </c>
      <c r="E23" s="305" t="str">
        <f t="shared" ca="1" si="8"/>
        <v>R</v>
      </c>
      <c r="F23" s="306"/>
      <c r="G23" s="307">
        <f t="shared" ca="1" si="1"/>
        <v>10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38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8</v>
      </c>
      <c r="AX23" s="287">
        <f t="shared" si="22"/>
        <v>15.8</v>
      </c>
      <c r="AY23" s="234">
        <f t="shared" si="23"/>
        <v>22</v>
      </c>
      <c r="AZ23" s="236"/>
      <c r="BA23" s="236"/>
      <c r="BC23" s="234">
        <f t="shared" ca="1" si="24"/>
        <v>17</v>
      </c>
      <c r="BD23" s="288">
        <f t="shared" ca="1" si="6"/>
        <v>4</v>
      </c>
      <c r="BF23" s="240" t="str">
        <f t="shared" ca="1" si="7"/>
        <v>American Electric Power Company,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AEP</v>
      </c>
    </row>
    <row r="24" spans="1:61" ht="13.8" x14ac:dyDescent="0.25">
      <c r="A24" s="303" t="s">
        <v>531</v>
      </c>
      <c r="B24" s="304" t="s">
        <v>16</v>
      </c>
      <c r="C24" s="304">
        <v>19</v>
      </c>
      <c r="D24" s="304" t="s">
        <v>529</v>
      </c>
      <c r="E24" s="305" t="str">
        <f t="shared" ca="1" si="8"/>
        <v>MR</v>
      </c>
      <c r="F24" s="306"/>
      <c r="G24" s="307">
        <f t="shared" ca="1" si="1"/>
        <v>11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35</v>
      </c>
      <c r="AW24" s="234">
        <f>COUNTIF( AV$7:AV24, AV24 )</f>
        <v>3</v>
      </c>
      <c r="AX24" s="287">
        <f t="shared" si="22"/>
        <v>35.299999999999997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5</v>
      </c>
      <c r="BF24" s="240" t="str">
        <f t="shared" ca="1" si="7"/>
        <v>AVANGRID,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AGR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16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35</v>
      </c>
      <c r="AW25" s="234">
        <f>COUNTIF( AV$7:AV25, AV25 )</f>
        <v>4</v>
      </c>
      <c r="AX25" s="287">
        <f t="shared" si="22"/>
        <v>35.4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18</v>
      </c>
      <c r="B26" s="304" t="s">
        <v>16</v>
      </c>
      <c r="C26" s="304">
        <v>19</v>
      </c>
      <c r="D26" s="304" t="s">
        <v>86</v>
      </c>
      <c r="E26" s="305" t="str">
        <f t="shared" ca="1" si="8"/>
        <v>MR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16</v>
      </c>
      <c r="AS26" s="286">
        <v>19</v>
      </c>
      <c r="AT26" s="286" t="s">
        <v>296</v>
      </c>
      <c r="AV26" s="234">
        <f t="shared" si="21"/>
        <v>15</v>
      </c>
      <c r="AW26" s="234">
        <f>COUNTIF( AV$7:AV26, AV26 )</f>
        <v>9</v>
      </c>
      <c r="AX26" s="287">
        <f t="shared" si="22"/>
        <v>15.9</v>
      </c>
      <c r="AY26" s="234">
        <f t="shared" si="23"/>
        <v>23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Resources,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R</v>
      </c>
      <c r="F27" s="306"/>
      <c r="G27" s="307">
        <f t="shared" ca="1" si="1"/>
        <v>19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57</v>
      </c>
      <c r="B28" s="304" t="s">
        <v>16</v>
      </c>
      <c r="C28" s="304">
        <v>19</v>
      </c>
      <c r="D28" s="304" t="s">
        <v>295</v>
      </c>
      <c r="E28" s="305" t="str">
        <f t="shared" ca="1" si="8"/>
        <v>R</v>
      </c>
      <c r="F28" s="306"/>
      <c r="G28" s="307">
        <f t="shared" ca="1" si="1"/>
        <v>21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35</v>
      </c>
      <c r="AW28" s="234">
        <f>COUNTIF( AV$7:AV28, AV28 )</f>
        <v>5</v>
      </c>
      <c r="AX28" s="287">
        <f t="shared" si="22"/>
        <v>35.5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17</v>
      </c>
      <c r="BF28" s="240" t="str">
        <f t="shared" ca="1" si="7"/>
        <v>Edison International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EIX</v>
      </c>
    </row>
    <row r="29" spans="1:61" ht="13.8" x14ac:dyDescent="0.25">
      <c r="A29" s="303" t="s">
        <v>36</v>
      </c>
      <c r="B29" s="304" t="s">
        <v>16</v>
      </c>
      <c r="C29" s="304">
        <v>19</v>
      </c>
      <c r="D29" s="304" t="s">
        <v>296</v>
      </c>
      <c r="E29" s="305" t="str">
        <f t="shared" ca="1" si="8"/>
        <v>R</v>
      </c>
      <c r="F29" s="306"/>
      <c r="G29" s="307">
        <f t="shared" ca="1" si="1"/>
        <v>24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>
        <f t="shared" ca="1" si="3"/>
        <v>1</v>
      </c>
      <c r="AH29" s="236" t="str">
        <f t="shared" ca="1" si="18"/>
        <v/>
      </c>
      <c r="AJ29" s="236">
        <f t="shared" ca="1" si="19"/>
        <v>43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4"/>
        <v>Change</v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20</v>
      </c>
      <c r="BF29" s="240" t="str">
        <f t="shared" ca="1" si="7"/>
        <v>Entergy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ETR</v>
      </c>
    </row>
    <row r="30" spans="1:61" ht="13.8" x14ac:dyDescent="0.25">
      <c r="A30" s="303" t="s">
        <v>260</v>
      </c>
      <c r="B30" s="304" t="s">
        <v>16</v>
      </c>
      <c r="C30" s="304">
        <v>19</v>
      </c>
      <c r="D30" s="304" t="s">
        <v>300</v>
      </c>
      <c r="E30" s="305" t="str">
        <f t="shared" ca="1" si="8"/>
        <v>R</v>
      </c>
      <c r="F30" s="306"/>
      <c r="G30" s="307">
        <f t="shared" ca="1" si="1"/>
        <v>28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10</v>
      </c>
      <c r="AX30" s="287">
        <f t="shared" si="22"/>
        <v>16</v>
      </c>
      <c r="AY30" s="234">
        <f t="shared" si="23"/>
        <v>24</v>
      </c>
      <c r="AZ30" s="236"/>
      <c r="BA30" s="236"/>
      <c r="BC30" s="234">
        <f t="shared" ca="1" si="24"/>
        <v>24</v>
      </c>
      <c r="BD30" s="288">
        <f t="shared" ca="1" si="6"/>
        <v>24</v>
      </c>
      <c r="BF30" s="240" t="str">
        <f t="shared" ca="1" si="7"/>
        <v>Great Plains Energy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GXP</v>
      </c>
    </row>
    <row r="31" spans="1:61" ht="13.8" x14ac:dyDescent="0.25">
      <c r="A31" s="303" t="s">
        <v>12</v>
      </c>
      <c r="B31" s="304" t="s">
        <v>16</v>
      </c>
      <c r="C31" s="304">
        <v>19</v>
      </c>
      <c r="D31" s="304" t="s">
        <v>308</v>
      </c>
      <c r="E31" s="305" t="str">
        <f t="shared" ca="1" si="8"/>
        <v>MR</v>
      </c>
      <c r="F31" s="306"/>
      <c r="G31" s="307">
        <f t="shared" ca="1" si="1"/>
        <v>31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28</v>
      </c>
      <c r="BF31" s="240" t="str">
        <f t="shared" ca="1" si="7"/>
        <v>MDU Resources Group,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MDU</v>
      </c>
    </row>
    <row r="32" spans="1:61" ht="13.8" x14ac:dyDescent="0.25">
      <c r="A32" s="303" t="s">
        <v>40</v>
      </c>
      <c r="B32" s="304" t="s">
        <v>16</v>
      </c>
      <c r="C32" s="304">
        <v>19</v>
      </c>
      <c r="D32" s="304" t="s">
        <v>310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35</v>
      </c>
      <c r="AW32" s="234">
        <f>COUNTIF( AV$7:AV32, AV32 )</f>
        <v>6</v>
      </c>
      <c r="AX32" s="287">
        <f t="shared" si="22"/>
        <v>35.6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30</v>
      </c>
      <c r="BF32" s="240" t="str">
        <f t="shared" ca="1" si="7"/>
        <v>NiSource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NI</v>
      </c>
    </row>
    <row r="33" spans="1:61" ht="13.8" x14ac:dyDescent="0.25">
      <c r="A33" s="303" t="s">
        <v>53</v>
      </c>
      <c r="B33" s="304" t="s">
        <v>16</v>
      </c>
      <c r="C33" s="304">
        <v>19</v>
      </c>
      <c r="D33" s="304" t="s">
        <v>317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>
        <f t="shared" ca="1" si="3"/>
        <v>1</v>
      </c>
      <c r="AH33" s="236" t="str">
        <f t="shared" ca="1" si="18"/>
        <v/>
      </c>
      <c r="AJ33" s="236">
        <f t="shared" ca="1" si="19"/>
        <v>48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4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34</v>
      </c>
      <c r="BF33" s="240" t="str">
        <f t="shared" ca="1" si="7"/>
        <v>PG&amp;E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PCG</v>
      </c>
    </row>
    <row r="34" spans="1:61" ht="13.8" x14ac:dyDescent="0.25">
      <c r="A34" s="303" t="s">
        <v>42</v>
      </c>
      <c r="B34" s="304" t="s">
        <v>16</v>
      </c>
      <c r="C34" s="304">
        <v>19</v>
      </c>
      <c r="D34" s="304" t="s">
        <v>320</v>
      </c>
      <c r="E34" s="305" t="str">
        <f t="shared" ca="1" si="8"/>
        <v>R</v>
      </c>
      <c r="F34" s="306"/>
      <c r="G34" s="307">
        <f t="shared" ca="1" si="1"/>
        <v>40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31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11</v>
      </c>
      <c r="AX34" s="287">
        <f t="shared" si="22"/>
        <v>16.100000000000001</v>
      </c>
      <c r="AY34" s="234">
        <f t="shared" si="23"/>
        <v>25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PNM Resources,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PNM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43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9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39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13</v>
      </c>
      <c r="B36" s="304" t="s">
        <v>16</v>
      </c>
      <c r="C36" s="304">
        <v>19</v>
      </c>
      <c r="D36" s="304" t="s">
        <v>326</v>
      </c>
      <c r="E36" s="305" t="str">
        <f t="shared" ca="1" si="8"/>
        <v>MR</v>
      </c>
      <c r="F36" s="306"/>
      <c r="G36" s="307">
        <f t="shared" ca="1" si="1"/>
        <v>44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12</v>
      </c>
      <c r="AX36" s="287">
        <f t="shared" si="22"/>
        <v>16.2</v>
      </c>
      <c r="AY36" s="234">
        <f t="shared" si="23"/>
        <v>26</v>
      </c>
      <c r="AZ36" s="236"/>
      <c r="BA36" s="236"/>
      <c r="BC36" s="234">
        <f t="shared" ca="1" si="24"/>
        <v>30</v>
      </c>
      <c r="BD36" s="288">
        <f t="shared" ca="1" si="6"/>
        <v>41</v>
      </c>
      <c r="BF36" s="240" t="str">
        <f t="shared" ca="1" si="7"/>
        <v>SCANA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SCG</v>
      </c>
    </row>
    <row r="37" spans="1:61" ht="13.8" x14ac:dyDescent="0.25">
      <c r="A37" s="303" t="s">
        <v>25</v>
      </c>
      <c r="B37" s="304" t="s">
        <v>16</v>
      </c>
      <c r="C37" s="304">
        <v>19</v>
      </c>
      <c r="D37" s="304" t="s">
        <v>328</v>
      </c>
      <c r="E37" s="305" t="str">
        <f t="shared" ca="1" si="8"/>
        <v>MR</v>
      </c>
      <c r="F37" s="306"/>
      <c r="G37" s="307">
        <f t="shared" ca="1" si="1"/>
        <v>45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35</v>
      </c>
      <c r="AW37" s="234">
        <f>COUNTIF( AV$7:AV37, AV37 )</f>
        <v>7</v>
      </c>
      <c r="AX37" s="287">
        <f t="shared" si="22"/>
        <v>35.700000000000003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Sempra Energy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SRE</v>
      </c>
    </row>
    <row r="38" spans="1:61" ht="13.8" x14ac:dyDescent="0.25">
      <c r="A38" s="303" t="s">
        <v>62</v>
      </c>
      <c r="B38" s="304" t="s">
        <v>16</v>
      </c>
      <c r="C38" s="304">
        <v>19</v>
      </c>
      <c r="D38" s="304" t="s">
        <v>543</v>
      </c>
      <c r="E38" s="305" t="str">
        <f t="shared" ca="1" si="8"/>
        <v>R</v>
      </c>
      <c r="F38" s="306"/>
      <c r="G38" s="307">
        <f t="shared" ca="1" si="1"/>
        <v>19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26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44</v>
      </c>
      <c r="BF38" s="240" t="str">
        <f t="shared" ca="1" si="7"/>
        <v>TECO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**TE</v>
      </c>
    </row>
    <row r="39" spans="1:61" ht="13.8" x14ac:dyDescent="0.25">
      <c r="A39" s="303" t="s">
        <v>76</v>
      </c>
      <c r="B39" s="304" t="s">
        <v>16</v>
      </c>
      <c r="C39" s="304">
        <v>19</v>
      </c>
      <c r="D39" s="304" t="s">
        <v>333</v>
      </c>
      <c r="E39" s="305" t="str">
        <f t="shared" ca="1" si="8"/>
        <v>R</v>
      </c>
      <c r="F39" s="306"/>
      <c r="G39" s="307">
        <f t="shared" ca="1" si="1"/>
        <v>48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BBB+</v>
      </c>
      <c r="AL39" s="236">
        <f t="shared" ca="1" si="20"/>
        <v>19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35</v>
      </c>
      <c r="AW39" s="234">
        <f>COUNTIF( AV$7:AV39, AV39 )</f>
        <v>8</v>
      </c>
      <c r="AX39" s="287">
        <f t="shared" si="22"/>
        <v>35.799999999999997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45</v>
      </c>
      <c r="BF39" s="240" t="str">
        <f t="shared" ref="BF39:BI63" ca="1" si="25">OFFSET( AQ$6, $BD39, 0 )</f>
        <v>Unitil Corporation</v>
      </c>
      <c r="BG39" s="240" t="str">
        <f t="shared" ca="1" si="25"/>
        <v>BBB+</v>
      </c>
      <c r="BH39" s="240">
        <f t="shared" ca="1" si="25"/>
        <v>19</v>
      </c>
      <c r="BI39" s="240" t="str">
        <f t="shared" ca="1" si="25"/>
        <v>UTL</v>
      </c>
    </row>
    <row r="40" spans="1:61" ht="13.8" x14ac:dyDescent="0.25">
      <c r="A40" s="303" t="s">
        <v>59</v>
      </c>
      <c r="B40" s="304" t="s">
        <v>16</v>
      </c>
      <c r="C40" s="304">
        <v>19</v>
      </c>
      <c r="D40" s="304" t="s">
        <v>336</v>
      </c>
      <c r="E40" s="305" t="str">
        <f t="shared" ca="1" si="8"/>
        <v>R</v>
      </c>
      <c r="F40" s="306"/>
      <c r="G40" s="307">
        <f t="shared" ca="1" si="1"/>
        <v>51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BBB+</v>
      </c>
      <c r="AL40" s="236">
        <f t="shared" ca="1" si="20"/>
        <v>19</v>
      </c>
      <c r="AM40" s="236" t="str">
        <f t="shared" ca="1" si="4"/>
        <v/>
      </c>
      <c r="AQ40" s="286" t="s">
        <v>53</v>
      </c>
      <c r="AR40" s="286" t="s">
        <v>16</v>
      </c>
      <c r="AS40" s="286">
        <v>19</v>
      </c>
      <c r="AT40" s="286" t="s">
        <v>317</v>
      </c>
      <c r="AV40" s="234">
        <f t="shared" si="21"/>
        <v>15</v>
      </c>
      <c r="AW40" s="234">
        <f>COUNTIF( AV$7:AV40, AV40 )</f>
        <v>13</v>
      </c>
      <c r="AX40" s="287">
        <f t="shared" si="22"/>
        <v>16.3</v>
      </c>
      <c r="AY40" s="234">
        <f t="shared" si="23"/>
        <v>27</v>
      </c>
      <c r="AZ40" s="236"/>
      <c r="BA40" s="236"/>
      <c r="BC40" s="234">
        <f t="shared" ca="1" si="24"/>
        <v>34</v>
      </c>
      <c r="BD40" s="288">
        <f t="shared" ca="1" si="6"/>
        <v>47</v>
      </c>
      <c r="BF40" s="240" t="str">
        <f t="shared" ca="1" si="25"/>
        <v>Westar Energy, Inc.</v>
      </c>
      <c r="BG40" s="240" t="str">
        <f t="shared" ca="1" si="25"/>
        <v>BBB+</v>
      </c>
      <c r="BH40" s="240">
        <f t="shared" ca="1" si="25"/>
        <v>19</v>
      </c>
      <c r="BI40" s="240" t="str">
        <f t="shared" ca="1" si="25"/>
        <v>WR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14</v>
      </c>
      <c r="AX42" s="287">
        <f t="shared" si="22"/>
        <v>16.399999999999999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22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35</v>
      </c>
      <c r="AW43" s="234">
        <f>COUNTIF( AV$7:AV43, AV43 )</f>
        <v>9</v>
      </c>
      <c r="AX43" s="287">
        <f t="shared" si="22"/>
        <v>35.9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15</v>
      </c>
      <c r="AX45" s="287">
        <f t="shared" si="22"/>
        <v>16.5</v>
      </c>
      <c r="AY45" s="234">
        <f t="shared" si="23"/>
        <v>29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16</v>
      </c>
      <c r="AX47" s="287">
        <f t="shared" si="22"/>
        <v>16.600000000000001</v>
      </c>
      <c r="AY47" s="234">
        <f t="shared" si="23"/>
        <v>30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17</v>
      </c>
      <c r="AX48" s="287">
        <f t="shared" si="22"/>
        <v>16.7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543</v>
      </c>
      <c r="AV50" s="234">
        <f t="shared" si="21"/>
        <v>15</v>
      </c>
      <c r="AW50" s="234">
        <f>COUNTIF( AV$7:AV50, AV50 )</f>
        <v>18</v>
      </c>
      <c r="AX50" s="287">
        <f t="shared" si="22"/>
        <v>16.8</v>
      </c>
      <c r="AY50" s="234">
        <f t="shared" si="23"/>
        <v>32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333</v>
      </c>
      <c r="AV51" s="234">
        <f t="shared" si="21"/>
        <v>15</v>
      </c>
      <c r="AW51" s="234">
        <f>COUNTIF( AV$7:AV51, AV51 )</f>
        <v>19</v>
      </c>
      <c r="AX51" s="287">
        <f t="shared" si="22"/>
        <v>16.899999999999999</v>
      </c>
      <c r="AY51" s="234">
        <f t="shared" si="23"/>
        <v>33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9" t="s">
        <v>336</v>
      </c>
      <c r="AV53" s="234">
        <f t="shared" si="21"/>
        <v>15</v>
      </c>
      <c r="AW53" s="234">
        <f>COUNTIF( AV$7:AV53, AV53 )</f>
        <v>20</v>
      </c>
      <c r="AX53" s="287">
        <f t="shared" si="22"/>
        <v>17</v>
      </c>
      <c r="AY53" s="234">
        <f t="shared" si="23"/>
        <v>34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18.940000000000001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18.920000000000002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'Credit_2016Q1'!d:d</v>
      </c>
      <c r="AK2" s="240" t="str">
        <f>AK4 &amp; AK3</f>
        <v>'Credit_2016Q1'!b1</v>
      </c>
      <c r="AL2" s="240" t="str">
        <f>AL4 &amp; AL3</f>
        <v>'Credit_2016Q1'!c1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'Credit_2016Q1'!</v>
      </c>
      <c r="AK4" s="236" t="str">
        <f t="shared" ref="AK4:AL4" si="0">$AQ$5</f>
        <v>'Credit_2016Q1'!</v>
      </c>
      <c r="AL4" s="236" t="str">
        <f t="shared" si="0"/>
        <v>'Credit_2016Q1'!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(50)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(12)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539</v>
      </c>
    </row>
    <row r="6" spans="1:61" ht="28.5" customHeight="1" x14ac:dyDescent="0.25">
      <c r="A6" s="299" t="s">
        <v>0</v>
      </c>
      <c r="B6" s="300" t="s">
        <v>534</v>
      </c>
      <c r="C6" s="338" t="s">
        <v>470</v>
      </c>
      <c r="D6" s="301"/>
      <c r="E6" s="302">
        <f ca="1">INDIRECT( E3 &amp; G1 )</f>
        <v>42369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10</v>
      </c>
      <c r="P10" s="296">
        <f t="shared" ca="1" si="12"/>
        <v>0.27777777777777779</v>
      </c>
      <c r="Q10" s="318"/>
      <c r="R10" s="295">
        <f t="shared" ca="1" si="13"/>
        <v>7</v>
      </c>
      <c r="S10" s="296">
        <f t="shared" ca="1" si="14"/>
        <v>0.58333333333333337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12</v>
      </c>
      <c r="M11" s="296">
        <f t="shared" si="10"/>
        <v>0.24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12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15</v>
      </c>
      <c r="AW11" s="234">
        <f>COUNTIF( AV$7:AV11, AV11 )</f>
        <v>3</v>
      </c>
      <c r="AX11" s="287">
        <f t="shared" si="22"/>
        <v>15.3</v>
      </c>
      <c r="AY11" s="234">
        <f t="shared" si="23"/>
        <v>17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5</v>
      </c>
      <c r="M12" s="296">
        <f t="shared" si="10"/>
        <v>0.1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5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2</v>
      </c>
      <c r="AX12" s="287">
        <f t="shared" si="22"/>
        <v>32.200000000000003</v>
      </c>
      <c r="AY12" s="234">
        <f t="shared" si="23"/>
        <v>33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0.02</v>
      </c>
      <c r="N13" s="319"/>
      <c r="O13" s="297">
        <f t="shared" ca="1" si="11"/>
        <v>0</v>
      </c>
      <c r="P13" s="298" t="str">
        <f t="shared" ca="1" si="12"/>
        <v/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51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3</v>
      </c>
      <c r="AX14" s="287">
        <f t="shared" si="22"/>
        <v>32.299999999999997</v>
      </c>
      <c r="AY14" s="234">
        <f t="shared" si="23"/>
        <v>34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18.88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18.916666666666668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17.5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44</v>
      </c>
      <c r="AW16" s="234">
        <f>COUNTIF( AV$7:AV16, AV16 )</f>
        <v>1</v>
      </c>
      <c r="AX16" s="287">
        <f t="shared" si="22"/>
        <v>44.1</v>
      </c>
      <c r="AY16" s="234">
        <f t="shared" si="23"/>
        <v>44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531</v>
      </c>
      <c r="B23" s="304" t="s">
        <v>16</v>
      </c>
      <c r="C23" s="304">
        <v>19</v>
      </c>
      <c r="D23" s="304" t="s">
        <v>529</v>
      </c>
      <c r="E23" s="305" t="str">
        <f t="shared" ca="1" si="8"/>
        <v>MR</v>
      </c>
      <c r="F23" s="306"/>
      <c r="G23" s="307">
        <f t="shared" ca="1" si="1"/>
        <v>11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>
        <f t="shared" ca="1" si="3"/>
        <v>1</v>
      </c>
      <c r="AH23" s="236" t="str">
        <f t="shared" ca="1" si="18"/>
        <v/>
      </c>
      <c r="AJ23" s="236">
        <f t="shared" ca="1" si="19"/>
        <v>39</v>
      </c>
      <c r="AK23" s="236" t="str">
        <f t="shared" ca="1" si="20"/>
        <v>BBB</v>
      </c>
      <c r="AL23" s="236">
        <f t="shared" ca="1" si="20"/>
        <v>18</v>
      </c>
      <c r="AM23" s="236" t="str">
        <f t="shared" ca="1" si="4"/>
        <v>Change</v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5</v>
      </c>
      <c r="BF23" s="240" t="str">
        <f t="shared" ca="1" si="7"/>
        <v>AVANGRID, Inc.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AGR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4</v>
      </c>
      <c r="AX24" s="287">
        <f t="shared" si="22"/>
        <v>32.4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5</v>
      </c>
      <c r="AX25" s="287">
        <f t="shared" si="22"/>
        <v>32.5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6</v>
      </c>
      <c r="AX26" s="287">
        <f t="shared" si="22"/>
        <v>32.6</v>
      </c>
      <c r="AY26" s="234">
        <f t="shared" si="23"/>
        <v>37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7</v>
      </c>
      <c r="AX28" s="287">
        <f t="shared" si="22"/>
        <v>32.700000000000003</v>
      </c>
      <c r="AY28" s="234">
        <f t="shared" si="23"/>
        <v>38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44</v>
      </c>
      <c r="AW29" s="234">
        <f>COUNTIF( AV$7:AV29, AV29 )</f>
        <v>2</v>
      </c>
      <c r="AX29" s="287">
        <f t="shared" si="22"/>
        <v>44.2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9" t="s">
        <v>301</v>
      </c>
      <c r="AV31" s="234">
        <f t="shared" si="21"/>
        <v>44</v>
      </c>
      <c r="AW31" s="234">
        <f>COUNTIF( AV$7:AV31, AV31 )</f>
        <v>3</v>
      </c>
      <c r="AX31" s="287">
        <f t="shared" si="22"/>
        <v>44.3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8</v>
      </c>
      <c r="AX32" s="287">
        <f t="shared" si="22"/>
        <v>32.799999999999997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4</v>
      </c>
      <c r="AX33" s="287">
        <f t="shared" si="22"/>
        <v>44.4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9</v>
      </c>
      <c r="AX37" s="287">
        <f t="shared" si="22"/>
        <v>32.9</v>
      </c>
      <c r="AY37" s="234">
        <f t="shared" si="23"/>
        <v>40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10</v>
      </c>
      <c r="AX39" s="287">
        <f t="shared" si="22"/>
        <v>33</v>
      </c>
      <c r="AY39" s="234">
        <f t="shared" si="23"/>
        <v>41</v>
      </c>
      <c r="AZ39" s="236"/>
      <c r="BA39" s="236"/>
      <c r="BC39" s="234">
        <f t="shared" ca="1" si="24"/>
        <v>33</v>
      </c>
      <c r="BD39" s="288">
        <f t="shared" ca="1" si="6"/>
        <v>6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13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11</v>
      </c>
      <c r="AX40" s="287">
        <f t="shared" si="22"/>
        <v>33.1</v>
      </c>
      <c r="AY40" s="234">
        <f t="shared" si="23"/>
        <v>42</v>
      </c>
      <c r="AZ40" s="236"/>
      <c r="BA40" s="236"/>
      <c r="BC40" s="234">
        <f t="shared" ca="1" si="24"/>
        <v>34</v>
      </c>
      <c r="BD40" s="288">
        <f t="shared" ca="1" si="6"/>
        <v>8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12</v>
      </c>
      <c r="AX43" s="287">
        <f t="shared" si="22"/>
        <v>33.200000000000003</v>
      </c>
      <c r="AY43" s="234">
        <f t="shared" si="23"/>
        <v>43</v>
      </c>
      <c r="AZ43" s="236"/>
      <c r="BA43" s="236"/>
      <c r="BC43" s="234">
        <f t="shared" ca="1" si="24"/>
        <v>37</v>
      </c>
      <c r="BD43" s="288">
        <f t="shared" ca="1" si="6"/>
        <v>20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D</v>
      </c>
      <c r="F44" s="306"/>
      <c r="G44" s="307">
        <f t="shared" ca="1" si="1"/>
        <v>26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6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22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30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44</v>
      </c>
      <c r="AW46" s="234">
        <f>COUNTIF( AV$7:AV46, AV46 )</f>
        <v>5</v>
      </c>
      <c r="AX46" s="287">
        <f t="shared" si="22"/>
        <v>44.5</v>
      </c>
      <c r="AY46" s="234">
        <f t="shared" si="23"/>
        <v>48</v>
      </c>
      <c r="AZ46" s="236"/>
      <c r="BA46" s="236"/>
      <c r="BC46" s="234">
        <f t="shared" ca="1" si="24"/>
        <v>40</v>
      </c>
      <c r="BD46" s="288">
        <f t="shared" ca="1" si="6"/>
        <v>31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33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38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9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34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37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30</v>
      </c>
      <c r="B50" s="304" t="s">
        <v>49</v>
      </c>
      <c r="C50" s="304">
        <v>17</v>
      </c>
      <c r="D50" s="304" t="s">
        <v>540</v>
      </c>
      <c r="E50" s="305" t="str">
        <f t="shared" ca="1" si="8"/>
        <v>R</v>
      </c>
      <c r="F50" s="306"/>
      <c r="G50" s="307">
        <f t="shared" ca="1" si="1"/>
        <v>15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>
        <f t="shared" ca="1" si="18"/>
        <v>1</v>
      </c>
      <c r="AJ50" s="236">
        <f t="shared" ca="1" si="19"/>
        <v>23</v>
      </c>
      <c r="AK50" s="236" t="str">
        <f t="shared" ca="1" si="20"/>
        <v>BBB+</v>
      </c>
      <c r="AL50" s="236">
        <f t="shared" ca="1" si="20"/>
        <v>19</v>
      </c>
      <c r="AM50" s="236" t="str">
        <f t="shared" ca="1" si="4"/>
        <v>Change</v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10</v>
      </c>
      <c r="BF50" s="240" t="str">
        <f t="shared" ca="1" si="25"/>
        <v>Cleco Corporation</v>
      </c>
      <c r="BG50" s="240" t="str">
        <f t="shared" ca="1" si="25"/>
        <v>BBB-</v>
      </c>
      <c r="BH50" s="240">
        <f t="shared" ca="1" si="25"/>
        <v>17</v>
      </c>
      <c r="BI50" s="240" t="str">
        <f t="shared" ca="1" si="25"/>
        <v>**CNL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8"/>
        <v>R</v>
      </c>
      <c r="F53" s="306"/>
      <c r="G53" s="307">
        <f t="shared" ca="1" si="1"/>
        <v>59</v>
      </c>
      <c r="H53" s="250"/>
      <c r="I53" s="250"/>
      <c r="J53" s="262"/>
      <c r="K53" s="262"/>
      <c r="AF53" s="236">
        <f t="shared" si="2"/>
        <v>1</v>
      </c>
      <c r="AG53" s="236">
        <f t="shared" ca="1" si="3"/>
        <v>1</v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BB+</v>
      </c>
      <c r="AL53" s="236">
        <f t="shared" ca="1" si="20"/>
        <v>16</v>
      </c>
      <c r="AM53" s="236" t="str">
        <f t="shared" ca="1" si="4"/>
        <v>Change</v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27</v>
      </c>
      <c r="BF53" s="240" t="str">
        <f t="shared" ca="1" si="25"/>
        <v>IPALCO Enterprises,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**IPALCO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40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-- 2016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Reg_Percent_2015</v>
      </c>
      <c r="G2" s="239" t="s">
        <v>538</v>
      </c>
      <c r="AJ2" s="240" t="str">
        <f>AJ4 &amp; AJ3</f>
        <v>'Credit_2015Q4'!d:d</v>
      </c>
      <c r="AK2" s="240" t="str">
        <f>AK4 &amp; AK3</f>
        <v>'Credit_2015Q4'!b1</v>
      </c>
      <c r="AL2" s="240" t="str">
        <f>AL4 &amp; AL3</f>
        <v>'Credit_2015Q4'!c1</v>
      </c>
      <c r="AQ2" s="236"/>
    </row>
    <row r="3" spans="1:61" ht="18" hidden="1" outlineLevel="1" x14ac:dyDescent="0.25">
      <c r="A3" s="233"/>
      <c r="E3" s="241" t="str">
        <f>"'" &amp; E2 &amp; "'!"</f>
        <v>'Reg_Percent_2015'!</v>
      </c>
      <c r="G3" s="234" t="str">
        <f>"'" &amp; G2 &amp; "'!"</f>
        <v>'Reg_Percent_2015'!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'Credit_2015Q4'!</v>
      </c>
      <c r="AK4" s="236" t="str">
        <f t="shared" ref="AK4:AL4" si="0">$AQ$5</f>
        <v>'Credit_2015Q4'!</v>
      </c>
      <c r="AL4" s="236" t="str">
        <f t="shared" si="0"/>
        <v>'Credit_2015Q4'!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(50)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(12)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532</v>
      </c>
    </row>
    <row r="6" spans="1:61" ht="28.5" customHeight="1" x14ac:dyDescent="0.25">
      <c r="A6" s="299" t="s">
        <v>0</v>
      </c>
      <c r="B6" s="300" t="s">
        <v>533</v>
      </c>
      <c r="C6" s="338" t="s">
        <v>470</v>
      </c>
      <c r="D6" s="301"/>
      <c r="E6" s="302">
        <f ca="1">INDIRECT( E3 &amp; G1 )</f>
        <v>42369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60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23</v>
      </c>
      <c r="AK7" s="236" t="str">
        <f ca="1">IF( ISNA( $AJ7 ), "", OFFSET( INDIRECT( AK$2 ), $AJ7-1, 0 ) )</f>
        <v>BBB+</v>
      </c>
      <c r="AL7" s="236">
        <f ca="1">IF( ISNA( $AJ7 ), "", OFFSET( INDIRECT( AL$2 ), $AJ7-1, 0 ) )</f>
        <v>19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515</v>
      </c>
      <c r="B8" s="304" t="s">
        <v>2</v>
      </c>
      <c r="C8" s="304">
        <v>21</v>
      </c>
      <c r="D8" s="304" t="s">
        <v>511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25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0.06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5.5555555555555552E-2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8.3333333333333329E-2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21</v>
      </c>
      <c r="BF8" s="240" t="str">
        <f t="shared" ca="1" si="7"/>
        <v>Eversource Energy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ES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0.24</v>
      </c>
      <c r="N9" s="318"/>
      <c r="O9" s="295">
        <f t="shared" ca="1" si="11"/>
        <v>10</v>
      </c>
      <c r="P9" s="296">
        <f t="shared" ca="1" si="12"/>
        <v>0.27777777777777779</v>
      </c>
      <c r="Q9" s="318"/>
      <c r="R9" s="295">
        <f t="shared" ca="1" si="13"/>
        <v>2</v>
      </c>
      <c r="S9" s="296">
        <f t="shared" ca="1" si="14"/>
        <v>0.16666666666666666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14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0.34</v>
      </c>
      <c r="N10" s="318"/>
      <c r="O10" s="295">
        <f t="shared" ca="1" si="11"/>
        <v>11</v>
      </c>
      <c r="P10" s="296">
        <f t="shared" ca="1" si="12"/>
        <v>0.30555555555555558</v>
      </c>
      <c r="Q10" s="318"/>
      <c r="R10" s="295">
        <f t="shared" ca="1" si="13"/>
        <v>6</v>
      </c>
      <c r="S10" s="296">
        <f t="shared" ca="1" si="14"/>
        <v>0.5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9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0.26</v>
      </c>
      <c r="N11" s="318"/>
      <c r="O11" s="295">
        <f t="shared" ca="1" si="11"/>
        <v>11</v>
      </c>
      <c r="P11" s="296">
        <f t="shared" ca="1" si="12"/>
        <v>0.30555555555555558</v>
      </c>
      <c r="Q11" s="318"/>
      <c r="R11" s="295">
        <f t="shared" ca="1" si="13"/>
        <v>1</v>
      </c>
      <c r="S11" s="296">
        <f t="shared" ca="1" si="14"/>
        <v>8.3333333333333329E-2</v>
      </c>
      <c r="T11" s="318"/>
      <c r="U11" s="295">
        <f t="shared" ca="1" si="15"/>
        <v>1</v>
      </c>
      <c r="V11" s="296">
        <f t="shared" ca="1" si="16"/>
        <v>0.5</v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28</v>
      </c>
      <c r="AS11" s="286">
        <v>18</v>
      </c>
      <c r="AT11" s="286" t="s">
        <v>529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20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0.06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8.3333333333333329E-2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3</v>
      </c>
      <c r="AX12" s="287">
        <f t="shared" si="22"/>
        <v>32.299999999999997</v>
      </c>
      <c r="AY12" s="234">
        <f t="shared" si="23"/>
        <v>34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33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0.04</v>
      </c>
      <c r="N13" s="319"/>
      <c r="O13" s="297">
        <f t="shared" ca="1" si="11"/>
        <v>1</v>
      </c>
      <c r="P13" s="298">
        <f t="shared" ca="1" si="12"/>
        <v>2.7777777777777776E-2</v>
      </c>
      <c r="Q13" s="319"/>
      <c r="R13" s="297">
        <f t="shared" ca="1" si="13"/>
        <v>1</v>
      </c>
      <c r="S13" s="298">
        <f t="shared" ca="1" si="14"/>
        <v>8.3333333333333329E-2</v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50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12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18.86</v>
      </c>
      <c r="Z14" s="261"/>
      <c r="AA14" s="446">
        <f ca="1">SUM(AA8:AA13)</f>
        <v>50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32</v>
      </c>
      <c r="AW14" s="234">
        <f>COUNTIF( AV$7:AV14, AV14 )</f>
        <v>4</v>
      </c>
      <c r="AX14" s="287">
        <f t="shared" si="22"/>
        <v>32.4</v>
      </c>
      <c r="AY14" s="234">
        <f t="shared" si="23"/>
        <v>35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39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3</v>
      </c>
      <c r="AW15" s="234">
        <f>COUNTIF( AV$7:AV15, AV15 )</f>
        <v>2</v>
      </c>
      <c r="AX15" s="287">
        <f t="shared" si="22"/>
        <v>3.2</v>
      </c>
      <c r="AY15" s="234">
        <f t="shared" si="23"/>
        <v>4</v>
      </c>
      <c r="AZ15" s="236"/>
      <c r="BA15" s="236"/>
      <c r="BC15" s="234">
        <f t="shared" ca="1" si="24"/>
        <v>9</v>
      </c>
      <c r="BD15" s="288">
        <f t="shared" ca="1" si="6"/>
        <v>35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42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18.88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18.944444444444443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18.916666666666668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17.5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3</v>
      </c>
      <c r="AX16" s="287">
        <f t="shared" si="22"/>
        <v>15.3</v>
      </c>
      <c r="AY16" s="234">
        <f t="shared" si="23"/>
        <v>17</v>
      </c>
      <c r="AZ16" s="236"/>
      <c r="BA16" s="236"/>
      <c r="BC16" s="234">
        <f t="shared" ca="1" si="24"/>
        <v>10</v>
      </c>
      <c r="BD16" s="288">
        <f t="shared" ca="1" si="6"/>
        <v>38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46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4</v>
      </c>
      <c r="AX17" s="287">
        <f t="shared" si="22"/>
        <v>15.4</v>
      </c>
      <c r="AY17" s="234">
        <f t="shared" si="23"/>
        <v>18</v>
      </c>
      <c r="AZ17" s="236"/>
      <c r="BA17" s="236"/>
      <c r="BC17" s="234">
        <f t="shared" ca="1" si="24"/>
        <v>11</v>
      </c>
      <c r="BD17" s="288">
        <f t="shared" ca="1" si="6"/>
        <v>43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R</v>
      </c>
      <c r="F18" s="306"/>
      <c r="G18" s="307">
        <f t="shared" ca="1" si="1"/>
        <v>49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46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50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16</v>
      </c>
      <c r="AS19" s="286">
        <v>19</v>
      </c>
      <c r="AT19" s="286" t="s">
        <v>86</v>
      </c>
      <c r="AV19" s="234">
        <f t="shared" si="21"/>
        <v>15</v>
      </c>
      <c r="AW19" s="234">
        <f>COUNTIF( AV$7:AV19, AV19 )</f>
        <v>5</v>
      </c>
      <c r="AX19" s="287">
        <f t="shared" si="22"/>
        <v>15.5</v>
      </c>
      <c r="AY19" s="234">
        <f t="shared" si="23"/>
        <v>19</v>
      </c>
      <c r="AZ19" s="236"/>
      <c r="BA19" s="236"/>
      <c r="BC19" s="234">
        <f t="shared" ca="1" si="24"/>
        <v>13</v>
      </c>
      <c r="BD19" s="288">
        <f t="shared" ca="1" si="6"/>
        <v>48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49</v>
      </c>
      <c r="AW20" s="234">
        <f>COUNTIF( AV$7:AV20, AV20 )</f>
        <v>1</v>
      </c>
      <c r="AX20" s="287">
        <f t="shared" si="22"/>
        <v>49.1</v>
      </c>
      <c r="AY20" s="234">
        <f t="shared" si="23"/>
        <v>49</v>
      </c>
      <c r="AZ20" s="236"/>
      <c r="BA20" s="236"/>
      <c r="BC20" s="234">
        <f t="shared" ca="1" si="24"/>
        <v>14</v>
      </c>
      <c r="BD20" s="288">
        <f t="shared" ca="1" si="6"/>
        <v>49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MR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15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10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16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11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18</v>
      </c>
      <c r="B25" s="304" t="s">
        <v>16</v>
      </c>
      <c r="C25" s="304">
        <v>19</v>
      </c>
      <c r="D25" s="304" t="s">
        <v>86</v>
      </c>
      <c r="E25" s="305" t="str">
        <f t="shared" ca="1" si="8"/>
        <v>MR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>
        <f t="shared" ca="1" si="18"/>
        <v>1</v>
      </c>
      <c r="AJ25" s="236">
        <f t="shared" ca="1" si="19"/>
        <v>11</v>
      </c>
      <c r="AK25" s="236" t="str">
        <f t="shared" ca="1" si="20"/>
        <v>A-</v>
      </c>
      <c r="AL25" s="236">
        <f t="shared" ca="1" si="20"/>
        <v>20</v>
      </c>
      <c r="AM25" s="236" t="str">
        <f t="shared" ca="1" si="4"/>
        <v>Change</v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13</v>
      </c>
      <c r="BF25" s="240" t="str">
        <f t="shared" ca="1" si="7"/>
        <v>Dominion Resources, Inc.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32</v>
      </c>
      <c r="AW26" s="234">
        <f>COUNTIF( AV$7:AV26, AV26 )</f>
        <v>7</v>
      </c>
      <c r="AX26" s="287">
        <f t="shared" si="22"/>
        <v>32.700000000000003</v>
      </c>
      <c r="AY26" s="234">
        <f t="shared" si="23"/>
        <v>38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9" t="s">
        <v>511</v>
      </c>
      <c r="AV27" s="234">
        <f t="shared" si="21"/>
        <v>1</v>
      </c>
      <c r="AW27" s="234">
        <f>COUNTIF( AV$7:AV27, AV27 )</f>
        <v>2</v>
      </c>
      <c r="AX27" s="287">
        <f t="shared" si="22"/>
        <v>1.2</v>
      </c>
      <c r="AY27" s="234">
        <f t="shared" si="23"/>
        <v>2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28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32</v>
      </c>
      <c r="AW28" s="234">
        <f>COUNTIF( AV$7:AV28, AV28 )</f>
        <v>8</v>
      </c>
      <c r="AX28" s="287">
        <f t="shared" si="22"/>
        <v>32.799999999999997</v>
      </c>
      <c r="AY28" s="234">
        <f t="shared" si="23"/>
        <v>39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MR</v>
      </c>
      <c r="F29" s="306"/>
      <c r="G29" s="307">
        <f t="shared" ca="1" si="1"/>
        <v>31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45</v>
      </c>
      <c r="AW29" s="234">
        <f>COUNTIF( AV$7:AV29, AV29 )</f>
        <v>1</v>
      </c>
      <c r="AX29" s="287">
        <f t="shared" si="22"/>
        <v>45.1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R</v>
      </c>
      <c r="F30" s="306"/>
      <c r="G30" s="307">
        <f t="shared" ca="1" si="1"/>
        <v>34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42</v>
      </c>
      <c r="B31" s="304" t="s">
        <v>16</v>
      </c>
      <c r="C31" s="304">
        <v>19</v>
      </c>
      <c r="D31" s="304" t="s">
        <v>320</v>
      </c>
      <c r="E31" s="305" t="str">
        <f t="shared" ca="1" si="8"/>
        <v>R</v>
      </c>
      <c r="F31" s="306"/>
      <c r="G31" s="307">
        <f t="shared" ca="1" si="1"/>
        <v>40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32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45</v>
      </c>
      <c r="AW31" s="234">
        <f>COUNTIF( AV$7:AV31, AV31 )</f>
        <v>2</v>
      </c>
      <c r="AX31" s="287">
        <f t="shared" si="22"/>
        <v>45.2</v>
      </c>
      <c r="AY31" s="234">
        <f t="shared" si="23"/>
        <v>46</v>
      </c>
      <c r="AZ31" s="236"/>
      <c r="BA31" s="236"/>
      <c r="BC31" s="234">
        <f t="shared" ca="1" si="24"/>
        <v>25</v>
      </c>
      <c r="BD31" s="288">
        <f t="shared" ca="1" si="6"/>
        <v>36</v>
      </c>
      <c r="BF31" s="240" t="str">
        <f t="shared" ca="1" si="7"/>
        <v>PNM Resources,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PNM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43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33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39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34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48</v>
      </c>
      <c r="AW33" s="234">
        <f>COUNTIF( AV$7:AV33, AV33 )</f>
        <v>1</v>
      </c>
      <c r="AX33" s="287">
        <f t="shared" si="22"/>
        <v>48.1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6"/>
        <v>41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35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36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5</v>
      </c>
      <c r="AX35" s="287">
        <f t="shared" si="22"/>
        <v>3.5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44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37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38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47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6</v>
      </c>
      <c r="AX38" s="287">
        <f t="shared" si="22"/>
        <v>3.6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531</v>
      </c>
      <c r="B39" s="304" t="s">
        <v>28</v>
      </c>
      <c r="C39" s="304">
        <v>18</v>
      </c>
      <c r="D39" s="304" t="s">
        <v>529</v>
      </c>
      <c r="E39" s="305" t="str">
        <f t="shared" ca="1" si="8"/>
        <v>MR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AVANGRID,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AGR</v>
      </c>
    </row>
    <row r="40" spans="1:61" ht="13.8" x14ac:dyDescent="0.25">
      <c r="A40" s="303" t="s">
        <v>55</v>
      </c>
      <c r="B40" s="304" t="s">
        <v>28</v>
      </c>
      <c r="C40" s="304">
        <v>18</v>
      </c>
      <c r="D40" s="304" t="s">
        <v>277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53</v>
      </c>
      <c r="AR40" s="286" t="s">
        <v>28</v>
      </c>
      <c r="AS40" s="286">
        <v>18</v>
      </c>
      <c r="AT40" s="286" t="s">
        <v>317</v>
      </c>
      <c r="AV40" s="234">
        <f t="shared" si="21"/>
        <v>32</v>
      </c>
      <c r="AW40" s="234">
        <f>COUNTIF( AV$7:AV40, AV40 )</f>
        <v>12</v>
      </c>
      <c r="AX40" s="287">
        <f t="shared" si="22"/>
        <v>33.200000000000003</v>
      </c>
      <c r="AY40" s="234">
        <f t="shared" si="23"/>
        <v>43</v>
      </c>
      <c r="AZ40" s="236"/>
      <c r="BA40" s="236"/>
      <c r="BC40" s="234">
        <f t="shared" ca="1" si="24"/>
        <v>34</v>
      </c>
      <c r="BD40" s="288">
        <f t="shared" ca="1" si="6"/>
        <v>6</v>
      </c>
      <c r="BF40" s="240" t="str">
        <f t="shared" ca="1" si="25"/>
        <v>Avista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AVA</v>
      </c>
    </row>
    <row r="41" spans="1:61" ht="13.8" x14ac:dyDescent="0.25">
      <c r="A41" s="303" t="s">
        <v>48</v>
      </c>
      <c r="B41" s="304" t="s">
        <v>28</v>
      </c>
      <c r="C41" s="304">
        <v>18</v>
      </c>
      <c r="D41" s="304" t="s">
        <v>279</v>
      </c>
      <c r="E41" s="305" t="str">
        <f t="shared" ca="1" si="8"/>
        <v>R</v>
      </c>
      <c r="F41" s="306"/>
      <c r="G41" s="307">
        <f t="shared" ca="1" si="1"/>
        <v>13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41</v>
      </c>
      <c r="AR41" s="286" t="s">
        <v>10</v>
      </c>
      <c r="AS41" s="286">
        <v>20</v>
      </c>
      <c r="AT41" s="286" t="s">
        <v>321</v>
      </c>
      <c r="AV41" s="234">
        <f t="shared" si="21"/>
        <v>3</v>
      </c>
      <c r="AW41" s="234">
        <f>COUNTIF( AV$7:AV41, AV41 )</f>
        <v>7</v>
      </c>
      <c r="AX41" s="287">
        <f t="shared" si="22"/>
        <v>3.7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6"/>
        <v>8</v>
      </c>
      <c r="BF41" s="240" t="str">
        <f t="shared" ca="1" si="25"/>
        <v>Black Hills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BKH</v>
      </c>
    </row>
    <row r="42" spans="1:61" ht="13.8" x14ac:dyDescent="0.25">
      <c r="A42" s="303" t="s">
        <v>34</v>
      </c>
      <c r="B42" s="304" t="s">
        <v>28</v>
      </c>
      <c r="C42" s="304">
        <v>18</v>
      </c>
      <c r="D42" s="304" t="s">
        <v>293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42</v>
      </c>
      <c r="AR42" s="286" t="s">
        <v>16</v>
      </c>
      <c r="AS42" s="286">
        <v>19</v>
      </c>
      <c r="AT42" s="286" t="s">
        <v>320</v>
      </c>
      <c r="AV42" s="234">
        <f t="shared" si="21"/>
        <v>15</v>
      </c>
      <c r="AW42" s="234">
        <f>COUNTIF( AV$7:AV42, AV42 )</f>
        <v>11</v>
      </c>
      <c r="AX42" s="287">
        <f t="shared" si="22"/>
        <v>16.100000000000001</v>
      </c>
      <c r="AY42" s="234">
        <f t="shared" si="23"/>
        <v>25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El Paso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EE</v>
      </c>
    </row>
    <row r="43" spans="1:61" ht="13.8" x14ac:dyDescent="0.25">
      <c r="A43" s="303" t="s">
        <v>35</v>
      </c>
      <c r="B43" s="304" t="s">
        <v>28</v>
      </c>
      <c r="C43" s="304">
        <v>18</v>
      </c>
      <c r="D43" s="304" t="s">
        <v>292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24</v>
      </c>
      <c r="AR43" s="286" t="s">
        <v>28</v>
      </c>
      <c r="AS43" s="286">
        <v>18</v>
      </c>
      <c r="AT43" s="286" t="s">
        <v>323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Empire District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EDE</v>
      </c>
    </row>
    <row r="44" spans="1:61" ht="13.8" x14ac:dyDescent="0.25">
      <c r="A44" s="303" t="s">
        <v>36</v>
      </c>
      <c r="B44" s="304" t="s">
        <v>28</v>
      </c>
      <c r="C44" s="304">
        <v>18</v>
      </c>
      <c r="D44" s="304" t="s">
        <v>296</v>
      </c>
      <c r="E44" s="305" t="str">
        <f t="shared" ca="1" si="8"/>
        <v>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43</v>
      </c>
      <c r="AR44" s="286" t="s">
        <v>10</v>
      </c>
      <c r="AS44" s="286">
        <v>20</v>
      </c>
      <c r="AT44" s="289" t="s">
        <v>324</v>
      </c>
      <c r="AV44" s="234">
        <f t="shared" si="21"/>
        <v>3</v>
      </c>
      <c r="AW44" s="234">
        <f>COUNTIF( AV$7:AV44, AV44 )</f>
        <v>8</v>
      </c>
      <c r="AX44" s="287">
        <f t="shared" si="22"/>
        <v>3.8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6"/>
        <v>20</v>
      </c>
      <c r="BF44" s="240" t="str">
        <f t="shared" ca="1" si="25"/>
        <v>Entergy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ETR</v>
      </c>
    </row>
    <row r="45" spans="1:61" ht="13.8" x14ac:dyDescent="0.25">
      <c r="A45" s="303" t="s">
        <v>11</v>
      </c>
      <c r="B45" s="304" t="s">
        <v>28</v>
      </c>
      <c r="C45" s="304">
        <v>18</v>
      </c>
      <c r="D45" s="304" t="s">
        <v>297</v>
      </c>
      <c r="E45" s="305" t="str">
        <f t="shared" ca="1" si="8"/>
        <v>D</v>
      </c>
      <c r="F45" s="306"/>
      <c r="G45" s="307">
        <f t="shared" ca="1" si="1"/>
        <v>26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45</v>
      </c>
      <c r="AR45" s="286" t="s">
        <v>16</v>
      </c>
      <c r="AS45" s="286">
        <v>19</v>
      </c>
      <c r="AT45" s="286" t="s">
        <v>318</v>
      </c>
      <c r="AV45" s="234">
        <f t="shared" si="21"/>
        <v>15</v>
      </c>
      <c r="AW45" s="234">
        <f>COUNTIF( AV$7:AV45, AV45 )</f>
        <v>12</v>
      </c>
      <c r="AX45" s="287">
        <f t="shared" si="22"/>
        <v>16.2</v>
      </c>
      <c r="AY45" s="234">
        <f t="shared" si="23"/>
        <v>26</v>
      </c>
      <c r="AZ45" s="236"/>
      <c r="BA45" s="236"/>
      <c r="BC45" s="234">
        <f t="shared" ca="1" si="24"/>
        <v>39</v>
      </c>
      <c r="BD45" s="288">
        <f t="shared" ca="1" si="6"/>
        <v>22</v>
      </c>
      <c r="BF45" s="240" t="str">
        <f t="shared" ca="1" si="25"/>
        <v>Exelon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EXC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30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47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54</v>
      </c>
      <c r="AR46" s="286" t="s">
        <v>49</v>
      </c>
      <c r="AS46" s="286">
        <v>17</v>
      </c>
      <c r="AT46" s="286" t="s">
        <v>448</v>
      </c>
      <c r="AV46" s="234">
        <f t="shared" si="21"/>
        <v>45</v>
      </c>
      <c r="AW46" s="234">
        <f>COUNTIF( AV$7:AV46, AV46 )</f>
        <v>3</v>
      </c>
      <c r="AX46" s="287">
        <f t="shared" si="22"/>
        <v>45.3</v>
      </c>
      <c r="AY46" s="234">
        <f t="shared" si="23"/>
        <v>47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13</v>
      </c>
      <c r="AR47" s="286" t="s">
        <v>16</v>
      </c>
      <c r="AS47" s="286">
        <v>19</v>
      </c>
      <c r="AT47" s="286" t="s">
        <v>326</v>
      </c>
      <c r="AV47" s="234">
        <f t="shared" si="21"/>
        <v>15</v>
      </c>
      <c r="AW47" s="234">
        <f>COUNTIF( AV$7:AV47, AV47 )</f>
        <v>13</v>
      </c>
      <c r="AX47" s="287">
        <f t="shared" si="22"/>
        <v>16.3</v>
      </c>
      <c r="AY47" s="234">
        <f t="shared" si="23"/>
        <v>27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25</v>
      </c>
      <c r="AR48" s="286" t="s">
        <v>16</v>
      </c>
      <c r="AS48" s="286">
        <v>19</v>
      </c>
      <c r="AT48" s="286" t="s">
        <v>328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38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50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7</v>
      </c>
      <c r="AR49" s="286" t="s">
        <v>10</v>
      </c>
      <c r="AS49" s="286">
        <v>20</v>
      </c>
      <c r="AT49" s="286" t="s">
        <v>327</v>
      </c>
      <c r="AV49" s="234">
        <f t="shared" si="21"/>
        <v>3</v>
      </c>
      <c r="AW49" s="234">
        <f>COUNTIF( AV$7:AV49, AV49 )</f>
        <v>9</v>
      </c>
      <c r="AX49" s="287">
        <f t="shared" si="22"/>
        <v>3.9</v>
      </c>
      <c r="AY49" s="234">
        <f t="shared" si="23"/>
        <v>11</v>
      </c>
      <c r="AZ49" s="236"/>
      <c r="BA49" s="236"/>
      <c r="BC49" s="234">
        <f t="shared" ca="1" si="24"/>
        <v>43</v>
      </c>
      <c r="BD49" s="288">
        <f t="shared" ca="1" si="6"/>
        <v>34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51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62</v>
      </c>
      <c r="AR50" s="286" t="s">
        <v>16</v>
      </c>
      <c r="AS50" s="286">
        <v>19</v>
      </c>
      <c r="AT50" s="286" t="s">
        <v>329</v>
      </c>
      <c r="AV50" s="234">
        <f t="shared" si="21"/>
        <v>15</v>
      </c>
      <c r="AW50" s="234">
        <f>COUNTIF( AV$7:AV50, AV50 )</f>
        <v>15</v>
      </c>
      <c r="AX50" s="287">
        <f t="shared" si="22"/>
        <v>16.5</v>
      </c>
      <c r="AY50" s="234">
        <f t="shared" si="23"/>
        <v>29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8"/>
        <v>MR</v>
      </c>
      <c r="F51" s="306"/>
      <c r="G51" s="307">
        <f t="shared" ca="1" si="1"/>
        <v>27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4"/>
        <v/>
      </c>
      <c r="AQ51" s="286" t="s">
        <v>76</v>
      </c>
      <c r="AR51" s="286" t="s">
        <v>16</v>
      </c>
      <c r="AS51" s="286">
        <v>19</v>
      </c>
      <c r="AT51" s="286" t="s">
        <v>447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23</v>
      </c>
      <c r="BF51" s="240" t="str">
        <f t="shared" ca="1" si="25"/>
        <v>FirstEnergy Corp.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8"/>
        <v>D</v>
      </c>
      <c r="F52" s="306"/>
      <c r="G52" s="307">
        <f t="shared" ca="1" si="1"/>
        <v>29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14</v>
      </c>
      <c r="AR52" s="286" t="s">
        <v>10</v>
      </c>
      <c r="AS52" s="286">
        <v>20</v>
      </c>
      <c r="AT52" s="286" t="s">
        <v>334</v>
      </c>
      <c r="AV52" s="234">
        <f t="shared" si="21"/>
        <v>3</v>
      </c>
      <c r="AW52" s="234">
        <f>COUNTIF( AV$7:AV52, AV52 )</f>
        <v>10</v>
      </c>
      <c r="AX52" s="287">
        <f t="shared" si="22"/>
        <v>4</v>
      </c>
      <c r="AY52" s="234">
        <f t="shared" si="23"/>
        <v>12</v>
      </c>
      <c r="AZ52" s="236"/>
      <c r="BA52" s="236"/>
      <c r="BC52" s="234">
        <f t="shared" ca="1" si="24"/>
        <v>46</v>
      </c>
      <c r="BD52" s="288">
        <f t="shared" ca="1" si="6"/>
        <v>25</v>
      </c>
      <c r="BF52" s="240" t="str">
        <f t="shared" ca="1" si="25"/>
        <v>Hawaiian Electric Industries, Inc.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HE</v>
      </c>
    </row>
    <row r="53" spans="1:61" ht="13.8" x14ac:dyDescent="0.25">
      <c r="A53" s="303" t="s">
        <v>54</v>
      </c>
      <c r="B53" s="304" t="s">
        <v>49</v>
      </c>
      <c r="C53" s="304">
        <v>17</v>
      </c>
      <c r="D53" s="304" t="s">
        <v>448</v>
      </c>
      <c r="E53" s="305" t="str">
        <f t="shared" ca="1" si="8"/>
        <v>R</v>
      </c>
      <c r="F53" s="306"/>
      <c r="G53" s="307">
        <f t="shared" ca="1" si="1"/>
        <v>61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59</v>
      </c>
      <c r="AR53" s="286" t="s">
        <v>16</v>
      </c>
      <c r="AS53" s="286">
        <v>19</v>
      </c>
      <c r="AT53" s="286" t="s">
        <v>336</v>
      </c>
      <c r="AV53" s="234">
        <f t="shared" si="21"/>
        <v>15</v>
      </c>
      <c r="AW53" s="234">
        <f>COUNTIF( AV$7:AV53, AV53 )</f>
        <v>17</v>
      </c>
      <c r="AX53" s="287">
        <f t="shared" si="22"/>
        <v>16.7</v>
      </c>
      <c r="AY53" s="234">
        <f t="shared" si="23"/>
        <v>31</v>
      </c>
      <c r="AZ53" s="236"/>
      <c r="BA53" s="236"/>
      <c r="BC53" s="234">
        <f t="shared" ca="1" si="24"/>
        <v>47</v>
      </c>
      <c r="BD53" s="288">
        <f t="shared" ca="1" si="6"/>
        <v>40</v>
      </c>
      <c r="BF53" s="240" t="str">
        <f t="shared" ca="1" si="25"/>
        <v>Puget Energy,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**PSD</v>
      </c>
    </row>
    <row r="54" spans="1:61" ht="13.8" x14ac:dyDescent="0.25">
      <c r="A54" s="303" t="s">
        <v>58</v>
      </c>
      <c r="B54" s="304" t="s">
        <v>56</v>
      </c>
      <c r="C54" s="304">
        <v>16</v>
      </c>
      <c r="D54" s="304" t="s">
        <v>445</v>
      </c>
      <c r="E54" s="305" t="str">
        <f t="shared" ca="1" si="8"/>
        <v>R</v>
      </c>
      <c r="F54" s="306"/>
      <c r="G54" s="307">
        <f t="shared" ca="1" si="1"/>
        <v>59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4"/>
        <v/>
      </c>
      <c r="AQ54" s="286" t="s">
        <v>26</v>
      </c>
      <c r="AR54" s="286" t="s">
        <v>10</v>
      </c>
      <c r="AS54" s="286">
        <v>20</v>
      </c>
      <c r="AT54" s="286" t="s">
        <v>335</v>
      </c>
      <c r="AV54" s="234">
        <f t="shared" si="21"/>
        <v>3</v>
      </c>
      <c r="AW54" s="234">
        <f>COUNTIF( AV$7:AV54, AV54 )</f>
        <v>11</v>
      </c>
      <c r="AX54" s="287">
        <f t="shared" si="22"/>
        <v>4.0999999999999996</v>
      </c>
      <c r="AY54" s="234">
        <f t="shared" si="23"/>
        <v>13</v>
      </c>
      <c r="AZ54" s="236"/>
      <c r="BA54" s="236"/>
      <c r="BC54" s="234">
        <f t="shared" ca="1" si="24"/>
        <v>48</v>
      </c>
      <c r="BD54" s="288">
        <f t="shared" ca="1" si="6"/>
        <v>27</v>
      </c>
      <c r="BF54" s="240" t="str">
        <f t="shared" ca="1" si="25"/>
        <v>IPALCO Enterprises, Inc.</v>
      </c>
      <c r="BG54" s="240" t="str">
        <f t="shared" ca="1" si="25"/>
        <v>BB+</v>
      </c>
      <c r="BH54" s="240">
        <f t="shared" ca="1" si="25"/>
        <v>16</v>
      </c>
      <c r="BI54" s="240" t="str">
        <f t="shared" ca="1" si="25"/>
        <v>**IPALCO</v>
      </c>
    </row>
    <row r="55" spans="1:61" ht="13.8" x14ac:dyDescent="0.25">
      <c r="A55" s="303" t="s">
        <v>64</v>
      </c>
      <c r="B55" s="304" t="s">
        <v>61</v>
      </c>
      <c r="C55" s="304">
        <v>15</v>
      </c>
      <c r="D55" s="304" t="s">
        <v>442</v>
      </c>
      <c r="E55" s="305" t="str">
        <f t="shared" ca="1" si="8"/>
        <v>MR</v>
      </c>
      <c r="F55" s="306"/>
      <c r="G55" s="307">
        <f t="shared" ca="1" si="1"/>
        <v>57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</v>
      </c>
      <c r="AL55" s="236">
        <f t="shared" ca="1" si="20"/>
        <v>15</v>
      </c>
      <c r="AM55" s="236" t="str">
        <f t="shared" ca="1" si="4"/>
        <v/>
      </c>
      <c r="AQ55" s="286" t="s">
        <v>257</v>
      </c>
      <c r="AR55" s="286" t="s">
        <v>10</v>
      </c>
      <c r="AS55" s="286">
        <v>20</v>
      </c>
      <c r="AT55" s="286" t="s">
        <v>337</v>
      </c>
      <c r="AV55" s="234">
        <f t="shared" si="21"/>
        <v>3</v>
      </c>
      <c r="AW55" s="234">
        <f>COUNTIF( AV$7:AV55, AV55 )</f>
        <v>12</v>
      </c>
      <c r="AX55" s="287">
        <f t="shared" si="22"/>
        <v>4.2</v>
      </c>
      <c r="AY55" s="234">
        <f t="shared" si="23"/>
        <v>14</v>
      </c>
      <c r="AZ55" s="236"/>
      <c r="BA55" s="236"/>
      <c r="BC55" s="234">
        <f t="shared" ca="1" si="24"/>
        <v>49</v>
      </c>
      <c r="BD55" s="288">
        <f t="shared" ca="1" si="6"/>
        <v>14</v>
      </c>
      <c r="BF55" s="240" t="str">
        <f t="shared" ca="1" si="25"/>
        <v>DPL Inc.</v>
      </c>
      <c r="BG55" s="240" t="str">
        <f t="shared" ca="1" si="25"/>
        <v>BB</v>
      </c>
      <c r="BH55" s="240">
        <f t="shared" ca="1" si="25"/>
        <v>15</v>
      </c>
      <c r="BI55" s="240" t="str">
        <f t="shared" ca="1" si="25"/>
        <v>**DPL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1</v>
      </c>
      <c r="AX56" s="287">
        <f t="shared" si="22"/>
        <v>99.1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2</v>
      </c>
      <c r="AX57" s="287">
        <f t="shared" si="22"/>
        <v>99.2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3</v>
      </c>
      <c r="AX58" s="287">
        <f t="shared" si="22"/>
        <v>99.3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4</v>
      </c>
      <c r="AX59" s="287">
        <f t="shared" si="22"/>
        <v>99.4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5</v>
      </c>
      <c r="AX60" s="287">
        <f t="shared" si="22"/>
        <v>99.5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32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6</v>
      </c>
      <c r="AX61" s="287">
        <f t="shared" si="22"/>
        <v>99.6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R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7</v>
      </c>
      <c r="AX62" s="287">
        <f t="shared" si="22"/>
        <v>99.7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8</v>
      </c>
      <c r="AX63" s="287">
        <f t="shared" si="22"/>
        <v>99.8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18.88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'Credit_2015Q3'!d:d</v>
      </c>
      <c r="AK2" s="240" t="str">
        <f>AK4 &amp; AK3</f>
        <v>'Credit_2015Q3'!b1</v>
      </c>
      <c r="AL2" s="240" t="str">
        <f>AL4 &amp; AL3</f>
        <v>'Credit_2015Q3'!c1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'Credit_2015Q3'!</v>
      </c>
      <c r="AK4" s="236" t="str">
        <f t="shared" ref="AK4:AL4" si="0">$AQ$5</f>
        <v>'Credit_2015Q3'!</v>
      </c>
      <c r="AL4" s="236" t="str">
        <f t="shared" si="0"/>
        <v>'Credit_2015Q3'!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(51)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527</v>
      </c>
    </row>
    <row r="6" spans="1:61" ht="28.5" customHeight="1" x14ac:dyDescent="0.25">
      <c r="A6" s="299" t="s">
        <v>0</v>
      </c>
      <c r="B6" s="300" t="s">
        <v>518</v>
      </c>
      <c r="C6" s="338" t="s">
        <v>470</v>
      </c>
      <c r="D6" s="301"/>
      <c r="E6" s="302">
        <f ca="1">INDIRECT( E3 &amp; G1 )</f>
        <v>42004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3.9215686274509803E-2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0.25490196078431371</v>
      </c>
      <c r="N9" s="318"/>
      <c r="O9" s="295">
        <f t="shared" ca="1" si="11"/>
        <v>8</v>
      </c>
      <c r="P9" s="296">
        <f t="shared" ca="1" si="12"/>
        <v>0.22222222222222221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9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0.35294117647058826</v>
      </c>
      <c r="N10" s="318"/>
      <c r="O10" s="295">
        <f t="shared" ca="1" si="11"/>
        <v>12</v>
      </c>
      <c r="P10" s="296">
        <f t="shared" ca="1" si="12"/>
        <v>0.33333333333333331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33</v>
      </c>
      <c r="AW10" s="234">
        <f>COUNTIF( AV$7:AV10, AV10 )</f>
        <v>1</v>
      </c>
      <c r="AX10" s="287">
        <f t="shared" si="22"/>
        <v>33.1</v>
      </c>
      <c r="AY10" s="234">
        <f t="shared" si="23"/>
        <v>33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13</v>
      </c>
      <c r="M11" s="296">
        <f t="shared" si="10"/>
        <v>0.25490196078431371</v>
      </c>
      <c r="N11" s="318"/>
      <c r="O11" s="295">
        <f t="shared" ca="1" si="11"/>
        <v>12</v>
      </c>
      <c r="P11" s="296">
        <f t="shared" ca="1" si="12"/>
        <v>0.33333333333333331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13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530</v>
      </c>
      <c r="AR11" s="286" t="s">
        <v>28</v>
      </c>
      <c r="AS11" s="286">
        <v>18</v>
      </c>
      <c r="AT11" s="286" t="s">
        <v>529</v>
      </c>
      <c r="AV11" s="234">
        <f t="shared" si="21"/>
        <v>33</v>
      </c>
      <c r="AW11" s="234">
        <f>COUNTIF( AV$7:AV11, AV11 )</f>
        <v>2</v>
      </c>
      <c r="AX11" s="287">
        <f t="shared" si="22"/>
        <v>33.200000000000003</v>
      </c>
      <c r="AY11" s="234">
        <f t="shared" si="23"/>
        <v>34</v>
      </c>
      <c r="AZ11" s="236"/>
      <c r="BA11" s="236"/>
      <c r="BC11" s="234">
        <f t="shared" ca="1" si="24"/>
        <v>5</v>
      </c>
      <c r="BD11" s="288">
        <f t="shared" ca="1" si="6"/>
        <v>13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5.8823529411764705E-2</v>
      </c>
      <c r="N12" s="318"/>
      <c r="O12" s="295">
        <f t="shared" ca="1" si="11"/>
        <v>1</v>
      </c>
      <c r="P12" s="296">
        <f t="shared" ca="1" si="12"/>
        <v>2.7777777777777776E-2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33</v>
      </c>
      <c r="AW12" s="234">
        <f>COUNTIF( AV$7:AV12, AV12 )</f>
        <v>3</v>
      </c>
      <c r="AX12" s="287">
        <f t="shared" si="22"/>
        <v>33.299999999999997</v>
      </c>
      <c r="AY12" s="234">
        <f t="shared" si="23"/>
        <v>35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3.9215686274509803E-2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16</v>
      </c>
      <c r="AS13" s="286">
        <v>19</v>
      </c>
      <c r="AT13" s="286" t="s">
        <v>446</v>
      </c>
      <c r="AV13" s="234">
        <f t="shared" si="21"/>
        <v>15</v>
      </c>
      <c r="AW13" s="234">
        <f>COUNTIF( AV$7:AV13, AV13 )</f>
        <v>3</v>
      </c>
      <c r="AX13" s="287">
        <f t="shared" si="22"/>
        <v>15.3</v>
      </c>
      <c r="AY13" s="234">
        <f t="shared" si="23"/>
        <v>17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51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18.843137254901961</v>
      </c>
      <c r="Z14" s="261"/>
      <c r="AA14" s="442">
        <f ca="1">SUM(AA8:AA13)</f>
        <v>51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28</v>
      </c>
      <c r="AS14" s="286">
        <v>18</v>
      </c>
      <c r="AT14" s="286" t="s">
        <v>279</v>
      </c>
      <c r="AV14" s="234">
        <f>IF( LEN( AS14 ) = 0, 99, RANK( AS14, $AS$7:$AS$63 ) )</f>
        <v>33</v>
      </c>
      <c r="AW14" s="234">
        <f>COUNTIF( AV$7:AV14, AV14 )</f>
        <v>4</v>
      </c>
      <c r="AX14" s="287">
        <f t="shared" si="22"/>
        <v>33.4</v>
      </c>
      <c r="AY14" s="234">
        <f t="shared" si="23"/>
        <v>36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10</v>
      </c>
      <c r="AS15" s="286">
        <v>20</v>
      </c>
      <c r="AT15" s="286" t="s">
        <v>285</v>
      </c>
      <c r="AV15" s="234">
        <f t="shared" si="21"/>
        <v>2</v>
      </c>
      <c r="AW15" s="234">
        <f>COUNTIF( AV$7:AV15, AV15 )</f>
        <v>2</v>
      </c>
      <c r="AX15" s="287">
        <f t="shared" si="22"/>
        <v>2.2000000000000002</v>
      </c>
      <c r="AY15" s="234">
        <f t="shared" si="23"/>
        <v>3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18.862745098039216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18.694444444444443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19.46153846153846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16</v>
      </c>
      <c r="AS16" s="286">
        <v>19</v>
      </c>
      <c r="AT16" s="286" t="s">
        <v>284</v>
      </c>
      <c r="AV16" s="234">
        <f t="shared" si="21"/>
        <v>15</v>
      </c>
      <c r="AW16" s="234">
        <f>COUNTIF( AV$7:AV16, AV16 )</f>
        <v>4</v>
      </c>
      <c r="AX16" s="287">
        <f t="shared" si="22"/>
        <v>15.4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15</v>
      </c>
      <c r="AW17" s="234">
        <f>COUNTIF( AV$7:AV17, AV17 )</f>
        <v>5</v>
      </c>
      <c r="AX17" s="287">
        <f t="shared" si="22"/>
        <v>15.5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47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18</v>
      </c>
      <c r="AR19" s="286" t="s">
        <v>10</v>
      </c>
      <c r="AS19" s="286">
        <v>20</v>
      </c>
      <c r="AT19" s="286" t="s">
        <v>86</v>
      </c>
      <c r="AV19" s="234">
        <f t="shared" si="21"/>
        <v>2</v>
      </c>
      <c r="AW19" s="234">
        <f>COUNTIF( AV$7:AV19, AV19 )</f>
        <v>4</v>
      </c>
      <c r="AX19" s="287">
        <f t="shared" si="22"/>
        <v>2.4</v>
      </c>
      <c r="AY19" s="234">
        <f t="shared" si="23"/>
        <v>5</v>
      </c>
      <c r="AZ19" s="236"/>
      <c r="BA19" s="236"/>
      <c r="BC19" s="234">
        <f t="shared" ca="1" si="24"/>
        <v>13</v>
      </c>
      <c r="BD19" s="288">
        <f t="shared" ca="1" si="6"/>
        <v>49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50</v>
      </c>
      <c r="AW20" s="234">
        <f>COUNTIF( AV$7:AV20, AV20 )</f>
        <v>1</v>
      </c>
      <c r="AX20" s="287">
        <f t="shared" si="22"/>
        <v>50.1</v>
      </c>
      <c r="AY20" s="234">
        <f t="shared" si="23"/>
        <v>50</v>
      </c>
      <c r="AZ20" s="236"/>
      <c r="BA20" s="236"/>
      <c r="BC20" s="234">
        <f t="shared" ca="1" si="24"/>
        <v>14</v>
      </c>
      <c r="BD20" s="288">
        <f t="shared" ca="1" si="6"/>
        <v>50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15</v>
      </c>
      <c r="AW21" s="234">
        <f>COUNTIF( AV$7:AV21, AV21 )</f>
        <v>6</v>
      </c>
      <c r="AX21" s="287">
        <f t="shared" si="22"/>
        <v>15.6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5</v>
      </c>
      <c r="AX22" s="287">
        <f t="shared" si="22"/>
        <v>2.5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16</v>
      </c>
      <c r="AS23" s="286">
        <v>19</v>
      </c>
      <c r="AT23" s="286" t="s">
        <v>295</v>
      </c>
      <c r="AV23" s="234">
        <f t="shared" si="21"/>
        <v>15</v>
      </c>
      <c r="AW23" s="234">
        <f>COUNTIF( AV$7:AV23, AV23 )</f>
        <v>7</v>
      </c>
      <c r="AX23" s="287">
        <f t="shared" si="22"/>
        <v>15.7</v>
      </c>
      <c r="AY23" s="234">
        <f t="shared" si="23"/>
        <v>21</v>
      </c>
      <c r="AZ23" s="236"/>
      <c r="BA23" s="236"/>
      <c r="BC23" s="234">
        <f t="shared" ca="1" si="24"/>
        <v>17</v>
      </c>
      <c r="BD23" s="288">
        <f t="shared" ca="1" si="6"/>
        <v>7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33</v>
      </c>
      <c r="AW24" s="234">
        <f>COUNTIF( AV$7:AV24, AV24 )</f>
        <v>5</v>
      </c>
      <c r="AX24" s="287">
        <f t="shared" si="22"/>
        <v>33.5</v>
      </c>
      <c r="AY24" s="234">
        <f t="shared" si="23"/>
        <v>37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35</v>
      </c>
      <c r="AR25" s="286" t="s">
        <v>28</v>
      </c>
      <c r="AS25" s="286">
        <v>18</v>
      </c>
      <c r="AT25" s="286" t="s">
        <v>292</v>
      </c>
      <c r="AV25" s="234">
        <f t="shared" si="21"/>
        <v>33</v>
      </c>
      <c r="AW25" s="234">
        <f>COUNTIF( AV$7:AV25, AV25 )</f>
        <v>6</v>
      </c>
      <c r="AX25" s="287">
        <f t="shared" si="22"/>
        <v>33.6</v>
      </c>
      <c r="AY25" s="234">
        <f t="shared" si="23"/>
        <v>38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36</v>
      </c>
      <c r="AR26" s="286" t="s">
        <v>28</v>
      </c>
      <c r="AS26" s="286">
        <v>18</v>
      </c>
      <c r="AT26" s="286" t="s">
        <v>296</v>
      </c>
      <c r="AV26" s="234">
        <f t="shared" si="21"/>
        <v>33</v>
      </c>
      <c r="AW26" s="234">
        <f>COUNTIF( AV$7:AV26, AV26 )</f>
        <v>7</v>
      </c>
      <c r="AX26" s="287">
        <f t="shared" si="22"/>
        <v>33.700000000000003</v>
      </c>
      <c r="AY26" s="234">
        <f t="shared" si="23"/>
        <v>39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2</v>
      </c>
      <c r="AS27" s="286">
        <v>21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17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28</v>
      </c>
      <c r="AS28" s="286">
        <v>18</v>
      </c>
      <c r="AT28" s="286" t="s">
        <v>297</v>
      </c>
      <c r="AV28" s="234">
        <f t="shared" si="21"/>
        <v>33</v>
      </c>
      <c r="AW28" s="234">
        <f>COUNTIF( AV$7:AV28, AV28 )</f>
        <v>8</v>
      </c>
      <c r="AX28" s="287">
        <f t="shared" si="22"/>
        <v>33.799999999999997</v>
      </c>
      <c r="AY28" s="234">
        <f t="shared" si="23"/>
        <v>40</v>
      </c>
      <c r="AZ28" s="236"/>
      <c r="BA28" s="236"/>
      <c r="BC28" s="234">
        <f t="shared" ca="1" si="24"/>
        <v>22</v>
      </c>
      <c r="BD28" s="288">
        <f t="shared" ca="1" si="6"/>
        <v>24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49</v>
      </c>
      <c r="AS29" s="286">
        <v>17</v>
      </c>
      <c r="AT29" s="286" t="s">
        <v>298</v>
      </c>
      <c r="AV29" s="234">
        <f t="shared" si="21"/>
        <v>46</v>
      </c>
      <c r="AW29" s="234">
        <f>COUNTIF( AV$7:AV29, AV29 )</f>
        <v>1</v>
      </c>
      <c r="AX29" s="287">
        <f t="shared" si="22"/>
        <v>46.1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260</v>
      </c>
      <c r="AR30" s="286" t="s">
        <v>16</v>
      </c>
      <c r="AS30" s="286">
        <v>19</v>
      </c>
      <c r="AT30" s="286" t="s">
        <v>300</v>
      </c>
      <c r="AV30" s="234">
        <f t="shared" si="21"/>
        <v>15</v>
      </c>
      <c r="AW30" s="234">
        <f>COUNTIF( AV$7:AV30, AV30 )</f>
        <v>8</v>
      </c>
      <c r="AX30" s="287">
        <f t="shared" si="22"/>
        <v>15.8</v>
      </c>
      <c r="AY30" s="234">
        <f t="shared" si="23"/>
        <v>22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39</v>
      </c>
      <c r="AR31" s="286" t="s">
        <v>49</v>
      </c>
      <c r="AS31" s="286">
        <v>17</v>
      </c>
      <c r="AT31" s="286" t="s">
        <v>301</v>
      </c>
      <c r="AV31" s="234">
        <f t="shared" si="21"/>
        <v>46</v>
      </c>
      <c r="AW31" s="234">
        <f>COUNTIF( AV$7:AV31, AV31 )</f>
        <v>2</v>
      </c>
      <c r="AX31" s="287">
        <f t="shared" si="22"/>
        <v>46.2</v>
      </c>
      <c r="AY31" s="234">
        <f t="shared" si="23"/>
        <v>47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42</v>
      </c>
      <c r="B32" s="304" t="s">
        <v>16</v>
      </c>
      <c r="C32" s="304">
        <v>19</v>
      </c>
      <c r="D32" s="304" t="s">
        <v>320</v>
      </c>
      <c r="E32" s="305" t="str">
        <f t="shared" ca="1" si="8"/>
        <v>R</v>
      </c>
      <c r="F32" s="306"/>
      <c r="G32" s="307">
        <f t="shared" ca="1" si="1"/>
        <v>41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>
        <f t="shared" ca="1" si="3"/>
        <v>1</v>
      </c>
      <c r="AH32" s="236" t="str">
        <f t="shared" ca="1" si="18"/>
        <v/>
      </c>
      <c r="AJ32" s="236">
        <f t="shared" ca="1" si="19"/>
        <v>50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4"/>
        <v>Change</v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33</v>
      </c>
      <c r="AW32" s="234">
        <f>COUNTIF( AV$7:AV32, AV32 )</f>
        <v>9</v>
      </c>
      <c r="AX32" s="287">
        <f t="shared" si="22"/>
        <v>33.9</v>
      </c>
      <c r="AY32" s="234">
        <f t="shared" si="23"/>
        <v>41</v>
      </c>
      <c r="AZ32" s="236"/>
      <c r="BA32" s="236"/>
      <c r="BC32" s="234">
        <f t="shared" ca="1" si="24"/>
        <v>26</v>
      </c>
      <c r="BD32" s="288">
        <f t="shared" ca="1" si="6"/>
        <v>37</v>
      </c>
      <c r="BF32" s="240" t="str">
        <f t="shared" ca="1" si="7"/>
        <v>PNM Resources, Inc.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PNM</v>
      </c>
    </row>
    <row r="33" spans="1:61" ht="13.8" x14ac:dyDescent="0.25">
      <c r="A33" s="303" t="s">
        <v>45</v>
      </c>
      <c r="B33" s="304" t="s">
        <v>16</v>
      </c>
      <c r="C33" s="304">
        <v>19</v>
      </c>
      <c r="D33" s="304" t="s">
        <v>318</v>
      </c>
      <c r="E33" s="305" t="str">
        <f t="shared" ca="1" si="8"/>
        <v>MR</v>
      </c>
      <c r="F33" s="306"/>
      <c r="G33" s="307">
        <f t="shared" ca="1" si="1"/>
        <v>44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49</v>
      </c>
      <c r="AW33" s="234">
        <f>COUNTIF( AV$7:AV33, AV33 )</f>
        <v>1</v>
      </c>
      <c r="AX33" s="287">
        <f t="shared" si="22"/>
        <v>49.1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6"/>
        <v>40</v>
      </c>
      <c r="BF33" s="240" t="str">
        <f t="shared" ca="1" si="7"/>
        <v>Public Service Enterprise Group Incorporated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PEG</v>
      </c>
    </row>
    <row r="34" spans="1:61" ht="13.8" x14ac:dyDescent="0.25">
      <c r="A34" s="303" t="s">
        <v>13</v>
      </c>
      <c r="B34" s="304" t="s">
        <v>16</v>
      </c>
      <c r="C34" s="304">
        <v>19</v>
      </c>
      <c r="D34" s="304" t="s">
        <v>326</v>
      </c>
      <c r="E34" s="305" t="str">
        <f t="shared" ca="1" si="8"/>
        <v>MR</v>
      </c>
      <c r="F34" s="306"/>
      <c r="G34" s="307">
        <f t="shared" ca="1" si="1"/>
        <v>45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9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42</v>
      </c>
      <c r="BF34" s="240" t="str">
        <f t="shared" ca="1" si="7"/>
        <v>SCANA Corporation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SCG</v>
      </c>
    </row>
    <row r="35" spans="1:61" ht="13.8" x14ac:dyDescent="0.25">
      <c r="A35" s="303" t="s">
        <v>25</v>
      </c>
      <c r="B35" s="304" t="s">
        <v>16</v>
      </c>
      <c r="C35" s="304">
        <v>19</v>
      </c>
      <c r="D35" s="304" t="s">
        <v>328</v>
      </c>
      <c r="E35" s="305" t="str">
        <f t="shared" ca="1" si="8"/>
        <v>MR</v>
      </c>
      <c r="F35" s="306"/>
      <c r="G35" s="307">
        <f t="shared" ca="1" si="1"/>
        <v>46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43</v>
      </c>
      <c r="BF35" s="240" t="str">
        <f t="shared" ca="1" si="7"/>
        <v>Sempra Energy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SRE</v>
      </c>
    </row>
    <row r="36" spans="1:61" ht="13.8" x14ac:dyDescent="0.25">
      <c r="A36" s="303" t="s">
        <v>62</v>
      </c>
      <c r="B36" s="304" t="s">
        <v>16</v>
      </c>
      <c r="C36" s="304">
        <v>19</v>
      </c>
      <c r="D36" s="304" t="s">
        <v>329</v>
      </c>
      <c r="E36" s="305" t="str">
        <f t="shared" ca="1" si="8"/>
        <v>R</v>
      </c>
      <c r="F36" s="306"/>
      <c r="G36" s="307">
        <f t="shared" ca="1" si="1"/>
        <v>48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45</v>
      </c>
      <c r="BF36" s="240" t="str">
        <f t="shared" ca="1" si="7"/>
        <v>TECO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TE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50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33</v>
      </c>
      <c r="AW37" s="234">
        <f>COUNTIF( AV$7:AV37, AV37 )</f>
        <v>10</v>
      </c>
      <c r="AX37" s="287">
        <f t="shared" si="22"/>
        <v>34</v>
      </c>
      <c r="AY37" s="234">
        <f t="shared" si="23"/>
        <v>42</v>
      </c>
      <c r="AZ37" s="236"/>
      <c r="BA37" s="236"/>
      <c r="BC37" s="234">
        <f t="shared" ca="1" si="24"/>
        <v>31</v>
      </c>
      <c r="BD37" s="288">
        <f t="shared" ca="1" si="6"/>
        <v>46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*UTL</v>
      </c>
    </row>
    <row r="38" spans="1:61" ht="13.8" x14ac:dyDescent="0.25">
      <c r="A38" s="303" t="s">
        <v>59</v>
      </c>
      <c r="B38" s="304" t="s">
        <v>16</v>
      </c>
      <c r="C38" s="304">
        <v>19</v>
      </c>
      <c r="D38" s="304" t="s">
        <v>336</v>
      </c>
      <c r="E38" s="305" t="str">
        <f t="shared" ca="1" si="8"/>
        <v>R</v>
      </c>
      <c r="F38" s="306"/>
      <c r="G38" s="307">
        <f t="shared" ca="1" si="1"/>
        <v>52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BBB+</v>
      </c>
      <c r="AL38" s="236">
        <f t="shared" ca="1" si="20"/>
        <v>19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48</v>
      </c>
      <c r="BF38" s="240" t="str">
        <f t="shared" ca="1" si="7"/>
        <v>Westar Energy, Inc.</v>
      </c>
      <c r="BG38" s="240" t="str">
        <f t="shared" ca="1" si="7"/>
        <v>BBB+</v>
      </c>
      <c r="BH38" s="240">
        <f t="shared" ca="1" si="7"/>
        <v>19</v>
      </c>
      <c r="BI38" s="240" t="str">
        <f t="shared" ca="1" si="7"/>
        <v>WR</v>
      </c>
    </row>
    <row r="39" spans="1:61" ht="13.8" x14ac:dyDescent="0.25">
      <c r="A39" s="303" t="s">
        <v>258</v>
      </c>
      <c r="B39" s="304" t="s">
        <v>28</v>
      </c>
      <c r="C39" s="304">
        <v>18</v>
      </c>
      <c r="D39" s="304" t="s">
        <v>274</v>
      </c>
      <c r="E39" s="305" t="str">
        <f t="shared" ca="1" si="8"/>
        <v>R</v>
      </c>
      <c r="F39" s="306"/>
      <c r="G39" s="307">
        <f t="shared" ca="1" si="1"/>
        <v>10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33</v>
      </c>
      <c r="AW39" s="234">
        <f>COUNTIF( AV$7:AV39, AV39 )</f>
        <v>11</v>
      </c>
      <c r="AX39" s="287">
        <f t="shared" si="22"/>
        <v>34.1</v>
      </c>
      <c r="AY39" s="234">
        <f t="shared" si="23"/>
        <v>43</v>
      </c>
      <c r="AZ39" s="236"/>
      <c r="BA39" s="236"/>
      <c r="BC39" s="234">
        <f t="shared" ca="1" si="24"/>
        <v>33</v>
      </c>
      <c r="BD39" s="288">
        <f t="shared" ca="1" si="6"/>
        <v>4</v>
      </c>
      <c r="BF39" s="240" t="str">
        <f t="shared" ref="BF39:BI63" ca="1" si="25">OFFSET( AQ$6, $BD39, 0 )</f>
        <v>American Electric Power Company, Inc.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AEP</v>
      </c>
    </row>
    <row r="40" spans="1:61" ht="13.8" x14ac:dyDescent="0.25">
      <c r="A40" s="303" t="s">
        <v>530</v>
      </c>
      <c r="B40" s="304" t="s">
        <v>28</v>
      </c>
      <c r="C40" s="304">
        <v>18</v>
      </c>
      <c r="D40" s="304" t="s">
        <v>529</v>
      </c>
      <c r="E40" s="305" t="str">
        <f t="shared" ca="1" si="8"/>
        <v>R</v>
      </c>
      <c r="F40" s="306"/>
      <c r="G40" s="307">
        <f t="shared" ca="1" si="1"/>
        <v>56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45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5</v>
      </c>
      <c r="BF40" s="240" t="str">
        <f t="shared" ca="1" si="25"/>
        <v xml:space="preserve">AVANGRID, Inc. 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AGR</v>
      </c>
    </row>
    <row r="41" spans="1:61" ht="13.8" x14ac:dyDescent="0.25">
      <c r="A41" s="303" t="s">
        <v>55</v>
      </c>
      <c r="B41" s="304" t="s">
        <v>28</v>
      </c>
      <c r="C41" s="304">
        <v>18</v>
      </c>
      <c r="D41" s="304" t="s">
        <v>277</v>
      </c>
      <c r="E41" s="305" t="str">
        <f t="shared" ca="1" si="8"/>
        <v>R</v>
      </c>
      <c r="F41" s="306"/>
      <c r="G41" s="307">
        <f t="shared" ca="1" si="1"/>
        <v>11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39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33</v>
      </c>
      <c r="AW41" s="234">
        <f>COUNTIF( AV$7:AV41, AV41 )</f>
        <v>12</v>
      </c>
      <c r="AX41" s="287">
        <f t="shared" si="22"/>
        <v>34.200000000000003</v>
      </c>
      <c r="AY41" s="234">
        <f t="shared" si="23"/>
        <v>44</v>
      </c>
      <c r="AZ41" s="236"/>
      <c r="BA41" s="236"/>
      <c r="BC41" s="234">
        <f t="shared" ca="1" si="24"/>
        <v>35</v>
      </c>
      <c r="BD41" s="288">
        <f t="shared" ca="1" si="6"/>
        <v>6</v>
      </c>
      <c r="BF41" s="240" t="str">
        <f t="shared" ca="1" si="25"/>
        <v>Avista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AVA</v>
      </c>
    </row>
    <row r="42" spans="1:61" ht="13.8" x14ac:dyDescent="0.25">
      <c r="A42" s="303" t="s">
        <v>48</v>
      </c>
      <c r="B42" s="304" t="s">
        <v>28</v>
      </c>
      <c r="C42" s="304">
        <v>18</v>
      </c>
      <c r="D42" s="304" t="s">
        <v>279</v>
      </c>
      <c r="E42" s="305" t="str">
        <f t="shared" ca="1" si="8"/>
        <v>R</v>
      </c>
      <c r="F42" s="306"/>
      <c r="G42" s="307">
        <f t="shared" ca="1" si="1"/>
        <v>12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40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9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8</v>
      </c>
      <c r="BF42" s="240" t="str">
        <f t="shared" ca="1" si="25"/>
        <v>Black Hills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BKH</v>
      </c>
    </row>
    <row r="43" spans="1:61" ht="13.8" x14ac:dyDescent="0.25">
      <c r="A43" s="303" t="s">
        <v>34</v>
      </c>
      <c r="B43" s="304" t="s">
        <v>28</v>
      </c>
      <c r="C43" s="304">
        <v>18</v>
      </c>
      <c r="D43" s="304" t="s">
        <v>293</v>
      </c>
      <c r="E43" s="305" t="str">
        <f t="shared" ca="1" si="8"/>
        <v>R</v>
      </c>
      <c r="F43" s="306"/>
      <c r="G43" s="307">
        <f t="shared" ca="1" si="1"/>
        <v>21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16</v>
      </c>
      <c r="AS43" s="286">
        <v>19</v>
      </c>
      <c r="AT43" s="286" t="s">
        <v>320</v>
      </c>
      <c r="AV43" s="234">
        <f t="shared" si="21"/>
        <v>15</v>
      </c>
      <c r="AW43" s="234">
        <f>COUNTIF( AV$7:AV43, AV43 )</f>
        <v>12</v>
      </c>
      <c r="AX43" s="287">
        <f t="shared" si="22"/>
        <v>16.2</v>
      </c>
      <c r="AY43" s="234">
        <f t="shared" si="23"/>
        <v>26</v>
      </c>
      <c r="AZ43" s="236"/>
      <c r="BA43" s="236"/>
      <c r="BC43" s="234">
        <f t="shared" ca="1" si="24"/>
        <v>37</v>
      </c>
      <c r="BD43" s="288">
        <f t="shared" ca="1" si="6"/>
        <v>18</v>
      </c>
      <c r="BF43" s="240" t="str">
        <f t="shared" ca="1" si="25"/>
        <v>El Paso Electric Company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EE</v>
      </c>
    </row>
    <row r="44" spans="1:61" ht="13.8" x14ac:dyDescent="0.25">
      <c r="A44" s="303" t="s">
        <v>35</v>
      </c>
      <c r="B44" s="304" t="s">
        <v>28</v>
      </c>
      <c r="C44" s="304">
        <v>18</v>
      </c>
      <c r="D44" s="304" t="s">
        <v>292</v>
      </c>
      <c r="E44" s="305" t="str">
        <f t="shared" ca="1" si="8"/>
        <v>R</v>
      </c>
      <c r="F44" s="306"/>
      <c r="G44" s="307">
        <f t="shared" ca="1" si="1"/>
        <v>22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33</v>
      </c>
      <c r="AW44" s="234">
        <f>COUNTIF( AV$7:AV44, AV44 )</f>
        <v>13</v>
      </c>
      <c r="AX44" s="287">
        <f t="shared" si="22"/>
        <v>34.299999999999997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19</v>
      </c>
      <c r="BF44" s="240" t="str">
        <f t="shared" ca="1" si="25"/>
        <v>Empire District Electric Company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EDE</v>
      </c>
    </row>
    <row r="45" spans="1:61" ht="13.8" x14ac:dyDescent="0.25">
      <c r="A45" s="303" t="s">
        <v>36</v>
      </c>
      <c r="B45" s="304" t="s">
        <v>28</v>
      </c>
      <c r="C45" s="304">
        <v>18</v>
      </c>
      <c r="D45" s="304" t="s">
        <v>296</v>
      </c>
      <c r="E45" s="305" t="str">
        <f t="shared" ca="1" si="8"/>
        <v>R</v>
      </c>
      <c r="F45" s="306"/>
      <c r="G45" s="307">
        <f t="shared" ca="1" si="1"/>
        <v>23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20</v>
      </c>
      <c r="BF45" s="240" t="str">
        <f t="shared" ca="1" si="25"/>
        <v>Entergy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ETR</v>
      </c>
    </row>
    <row r="46" spans="1:61" ht="13.8" x14ac:dyDescent="0.25">
      <c r="A46" s="303" t="s">
        <v>11</v>
      </c>
      <c r="B46" s="304" t="s">
        <v>28</v>
      </c>
      <c r="C46" s="304">
        <v>18</v>
      </c>
      <c r="D46" s="304" t="s">
        <v>297</v>
      </c>
      <c r="E46" s="305" t="str">
        <f t="shared" ca="1" si="8"/>
        <v>MR</v>
      </c>
      <c r="F46" s="306"/>
      <c r="G46" s="307">
        <f t="shared" ca="1" si="1"/>
        <v>24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13</v>
      </c>
      <c r="AX46" s="287">
        <f t="shared" si="22"/>
        <v>16.3</v>
      </c>
      <c r="AY46" s="234">
        <f t="shared" si="23"/>
        <v>27</v>
      </c>
      <c r="AZ46" s="236"/>
      <c r="BA46" s="236"/>
      <c r="BC46" s="234">
        <f t="shared" ca="1" si="24"/>
        <v>40</v>
      </c>
      <c r="BD46" s="288">
        <f t="shared" ca="1" si="6"/>
        <v>22</v>
      </c>
      <c r="BF46" s="240" t="str">
        <f t="shared" ca="1" si="25"/>
        <v>Exelon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EXC</v>
      </c>
    </row>
    <row r="47" spans="1:61" ht="13.8" x14ac:dyDescent="0.25">
      <c r="A47" s="303" t="s">
        <v>20</v>
      </c>
      <c r="B47" s="304" t="s">
        <v>28</v>
      </c>
      <c r="C47" s="304">
        <v>18</v>
      </c>
      <c r="D47" s="304" t="s">
        <v>302</v>
      </c>
      <c r="E47" s="305" t="str">
        <f t="shared" ca="1" si="8"/>
        <v>R</v>
      </c>
      <c r="F47" s="306"/>
      <c r="G47" s="307">
        <f t="shared" ca="1" si="1"/>
        <v>28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46</v>
      </c>
      <c r="AW47" s="234">
        <f>COUNTIF( AV$7:AV47, AV47 )</f>
        <v>3</v>
      </c>
      <c r="AX47" s="287">
        <f t="shared" si="22"/>
        <v>46.3</v>
      </c>
      <c r="AY47" s="234">
        <f t="shared" si="23"/>
        <v>48</v>
      </c>
      <c r="AZ47" s="236"/>
      <c r="BA47" s="236"/>
      <c r="BC47" s="234">
        <f t="shared" ca="1" si="24"/>
        <v>41</v>
      </c>
      <c r="BD47" s="288">
        <f t="shared" ca="1" si="6"/>
        <v>26</v>
      </c>
      <c r="BF47" s="240" t="str">
        <f t="shared" ca="1" si="25"/>
        <v>IDACORP, Inc.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IDA</v>
      </c>
    </row>
    <row r="48" spans="1:61" ht="13.8" x14ac:dyDescent="0.25">
      <c r="A48" s="303" t="s">
        <v>66</v>
      </c>
      <c r="B48" s="304" t="s">
        <v>28</v>
      </c>
      <c r="C48" s="304">
        <v>18</v>
      </c>
      <c r="D48" s="304" t="s">
        <v>314</v>
      </c>
      <c r="E48" s="305" t="str">
        <f t="shared" ca="1" si="8"/>
        <v>R</v>
      </c>
      <c r="F48" s="306"/>
      <c r="G48" s="307">
        <f t="shared" ca="1" si="1"/>
        <v>35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14</v>
      </c>
      <c r="AX48" s="287">
        <f t="shared" si="22"/>
        <v>16.399999999999999</v>
      </c>
      <c r="AY48" s="234">
        <f t="shared" si="23"/>
        <v>28</v>
      </c>
      <c r="AZ48" s="236"/>
      <c r="BA48" s="236"/>
      <c r="BC48" s="234">
        <f t="shared" ca="1" si="24"/>
        <v>42</v>
      </c>
      <c r="BD48" s="288">
        <f t="shared" ca="1" si="6"/>
        <v>31</v>
      </c>
      <c r="BF48" s="240" t="str">
        <f t="shared" ca="1" si="25"/>
        <v>NorthWestern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NWE</v>
      </c>
    </row>
    <row r="49" spans="1:61" ht="13.8" x14ac:dyDescent="0.25">
      <c r="A49" s="303" t="s">
        <v>22</v>
      </c>
      <c r="B49" s="304" t="s">
        <v>28</v>
      </c>
      <c r="C49" s="304">
        <v>18</v>
      </c>
      <c r="D49" s="304" t="s">
        <v>316</v>
      </c>
      <c r="E49" s="305" t="str">
        <f t="shared" ca="1" si="8"/>
        <v>R</v>
      </c>
      <c r="F49" s="306"/>
      <c r="G49" s="307">
        <f t="shared" ca="1" si="1"/>
        <v>37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15</v>
      </c>
      <c r="AX49" s="287">
        <f t="shared" si="22"/>
        <v>16.5</v>
      </c>
      <c r="AY49" s="234">
        <f t="shared" si="23"/>
        <v>29</v>
      </c>
      <c r="AZ49" s="236"/>
      <c r="BA49" s="236"/>
      <c r="BC49" s="234">
        <f t="shared" ca="1" si="24"/>
        <v>43</v>
      </c>
      <c r="BD49" s="288">
        <f t="shared" ca="1" si="6"/>
        <v>33</v>
      </c>
      <c r="BF49" s="240" t="str">
        <f t="shared" ca="1" si="25"/>
        <v>Otter Tail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OTTR</v>
      </c>
    </row>
    <row r="50" spans="1:61" ht="13.8" x14ac:dyDescent="0.25">
      <c r="A50" s="303" t="s">
        <v>53</v>
      </c>
      <c r="B50" s="304" t="s">
        <v>28</v>
      </c>
      <c r="C50" s="304">
        <v>18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39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35</v>
      </c>
      <c r="BF50" s="240" t="str">
        <f t="shared" ca="1" si="25"/>
        <v>PG&amp;E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PCG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16</v>
      </c>
      <c r="AX51" s="287">
        <f t="shared" si="22"/>
        <v>16.600000000000001</v>
      </c>
      <c r="AY51" s="234">
        <f t="shared" si="23"/>
        <v>30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76</v>
      </c>
      <c r="AR52" s="286" t="s">
        <v>16</v>
      </c>
      <c r="AS52" s="286">
        <v>19</v>
      </c>
      <c r="AT52" s="286" t="s">
        <v>447</v>
      </c>
      <c r="AV52" s="234">
        <f t="shared" si="21"/>
        <v>15</v>
      </c>
      <c r="AW52" s="234">
        <f>COUNTIF( AV$7:AV52, AV52 )</f>
        <v>17</v>
      </c>
      <c r="AX52" s="287">
        <f t="shared" si="22"/>
        <v>16.7</v>
      </c>
      <c r="AY52" s="234">
        <f t="shared" si="23"/>
        <v>31</v>
      </c>
      <c r="AZ52" s="236"/>
      <c r="BA52" s="236"/>
      <c r="BC52" s="234">
        <f t="shared" ca="1" si="24"/>
        <v>46</v>
      </c>
      <c r="BD52" s="288">
        <f t="shared" ca="1" si="6"/>
        <v>23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14</v>
      </c>
      <c r="AR53" s="286" t="s">
        <v>10</v>
      </c>
      <c r="AS53" s="286">
        <v>20</v>
      </c>
      <c r="AT53" s="286" t="s">
        <v>334</v>
      </c>
      <c r="AV53" s="234">
        <f t="shared" si="21"/>
        <v>2</v>
      </c>
      <c r="AW53" s="234">
        <f>COUNTIF( AV$7:AV53, AV53 )</f>
        <v>11</v>
      </c>
      <c r="AX53" s="287">
        <f t="shared" si="22"/>
        <v>3.1</v>
      </c>
      <c r="AY53" s="234">
        <f t="shared" si="23"/>
        <v>12</v>
      </c>
      <c r="AZ53" s="236"/>
      <c r="BA53" s="236"/>
      <c r="BC53" s="234">
        <f t="shared" ca="1" si="24"/>
        <v>47</v>
      </c>
      <c r="BD53" s="288">
        <f t="shared" ca="1" si="6"/>
        <v>25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54</v>
      </c>
      <c r="B54" s="304" t="s">
        <v>49</v>
      </c>
      <c r="C54" s="304">
        <v>17</v>
      </c>
      <c r="D54" s="304" t="s">
        <v>448</v>
      </c>
      <c r="E54" s="305" t="str">
        <f t="shared" ca="1" si="8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59</v>
      </c>
      <c r="AR54" s="286" t="s">
        <v>16</v>
      </c>
      <c r="AS54" s="286">
        <v>19</v>
      </c>
      <c r="AT54" s="286" t="s">
        <v>336</v>
      </c>
      <c r="AV54" s="234">
        <f t="shared" si="21"/>
        <v>15</v>
      </c>
      <c r="AW54" s="234">
        <f>COUNTIF( AV$7:AV54, AV54 )</f>
        <v>18</v>
      </c>
      <c r="AX54" s="287">
        <f t="shared" si="22"/>
        <v>16.8</v>
      </c>
      <c r="AY54" s="234">
        <f t="shared" si="23"/>
        <v>32</v>
      </c>
      <c r="AZ54" s="236"/>
      <c r="BA54" s="236"/>
      <c r="BC54" s="234">
        <f t="shared" ca="1" si="24"/>
        <v>48</v>
      </c>
      <c r="BD54" s="288">
        <f t="shared" ca="1" si="6"/>
        <v>41</v>
      </c>
      <c r="BF54" s="240" t="str">
        <f t="shared" ca="1" si="25"/>
        <v>Puget Energy,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**PSD</v>
      </c>
    </row>
    <row r="55" spans="1:61" ht="13.8" x14ac:dyDescent="0.25">
      <c r="A55" s="303" t="s">
        <v>58</v>
      </c>
      <c r="B55" s="304" t="s">
        <v>56</v>
      </c>
      <c r="C55" s="304">
        <v>16</v>
      </c>
      <c r="D55" s="304" t="s">
        <v>445</v>
      </c>
      <c r="E55" s="305" t="str">
        <f t="shared" ca="1" si="8"/>
        <v>R</v>
      </c>
      <c r="F55" s="306"/>
      <c r="G55" s="307">
        <f t="shared" ca="1" si="1"/>
        <v>59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4"/>
        <v/>
      </c>
      <c r="AQ55" s="286" t="s">
        <v>26</v>
      </c>
      <c r="AR55" s="286" t="s">
        <v>10</v>
      </c>
      <c r="AS55" s="286">
        <v>20</v>
      </c>
      <c r="AT55" s="286" t="s">
        <v>335</v>
      </c>
      <c r="AV55" s="234">
        <f t="shared" si="21"/>
        <v>2</v>
      </c>
      <c r="AW55" s="234">
        <f>COUNTIF( AV$7:AV55, AV55 )</f>
        <v>12</v>
      </c>
      <c r="AX55" s="287">
        <f t="shared" si="22"/>
        <v>3.2</v>
      </c>
      <c r="AY55" s="234">
        <f t="shared" si="23"/>
        <v>13</v>
      </c>
      <c r="AZ55" s="236"/>
      <c r="BA55" s="236"/>
      <c r="BC55" s="234">
        <f t="shared" ca="1" si="24"/>
        <v>49</v>
      </c>
      <c r="BD55" s="288">
        <f t="shared" ca="1" si="6"/>
        <v>27</v>
      </c>
      <c r="BF55" s="240" t="str">
        <f t="shared" ca="1" si="25"/>
        <v>IPALCO Enterprises, Inc.</v>
      </c>
      <c r="BG55" s="240" t="str">
        <f t="shared" ca="1" si="25"/>
        <v>BB+</v>
      </c>
      <c r="BH55" s="240">
        <f t="shared" ca="1" si="25"/>
        <v>16</v>
      </c>
      <c r="BI55" s="240" t="str">
        <f t="shared" ca="1" si="25"/>
        <v>**IPALCO</v>
      </c>
    </row>
    <row r="56" spans="1:61" ht="13.8" x14ac:dyDescent="0.25">
      <c r="A56" s="303" t="s">
        <v>64</v>
      </c>
      <c r="B56" s="304" t="s">
        <v>61</v>
      </c>
      <c r="C56" s="304">
        <v>15</v>
      </c>
      <c r="D56" s="304" t="s">
        <v>442</v>
      </c>
      <c r="E56" s="305" t="str">
        <f t="shared" ca="1" si="8"/>
        <v>R</v>
      </c>
      <c r="F56" s="306"/>
      <c r="G56" s="307">
        <f t="shared" ca="1" si="1"/>
        <v>57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</v>
      </c>
      <c r="AL56" s="236">
        <f t="shared" ca="1" si="20"/>
        <v>15</v>
      </c>
      <c r="AM56" s="236" t="str">
        <f t="shared" ca="1" si="4"/>
        <v/>
      </c>
      <c r="AQ56" s="286" t="s">
        <v>257</v>
      </c>
      <c r="AR56" s="286" t="s">
        <v>10</v>
      </c>
      <c r="AS56" s="286">
        <v>20</v>
      </c>
      <c r="AT56" s="286" t="s">
        <v>337</v>
      </c>
      <c r="AV56" s="234">
        <f t="shared" si="21"/>
        <v>2</v>
      </c>
      <c r="AW56" s="234">
        <f>COUNTIF( AV$7:AV56, AV56 )</f>
        <v>13</v>
      </c>
      <c r="AX56" s="287">
        <f t="shared" si="22"/>
        <v>3.3</v>
      </c>
      <c r="AY56" s="234">
        <f t="shared" si="23"/>
        <v>14</v>
      </c>
      <c r="AZ56" s="236"/>
      <c r="BA56" s="236"/>
      <c r="BC56" s="234">
        <f t="shared" ca="1" si="24"/>
        <v>50</v>
      </c>
      <c r="BD56" s="288">
        <f t="shared" ca="1" si="6"/>
        <v>14</v>
      </c>
      <c r="BF56" s="240" t="str">
        <f t="shared" ca="1" si="25"/>
        <v>DPL Inc.</v>
      </c>
      <c r="BG56" s="240" t="str">
        <f t="shared" ca="1" si="25"/>
        <v>BB</v>
      </c>
      <c r="BH56" s="240">
        <f t="shared" ca="1" si="25"/>
        <v>15</v>
      </c>
      <c r="BI56" s="240" t="str">
        <f t="shared" ca="1" si="25"/>
        <v>**DPL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1</v>
      </c>
      <c r="AX57" s="287">
        <f t="shared" si="22"/>
        <v>99.1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2</v>
      </c>
      <c r="AX58" s="287">
        <f t="shared" si="22"/>
        <v>99.2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3</v>
      </c>
      <c r="AX59" s="287">
        <f t="shared" si="22"/>
        <v>99.3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4</v>
      </c>
      <c r="AX60" s="287">
        <f t="shared" si="22"/>
        <v>99.4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5</v>
      </c>
      <c r="AX61" s="287">
        <f t="shared" si="22"/>
        <v>99.5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6</v>
      </c>
      <c r="AX62" s="287">
        <f t="shared" si="22"/>
        <v>99.6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7</v>
      </c>
      <c r="AX63" s="287">
        <f t="shared" si="22"/>
        <v>99.7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18.862745098039216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18.843137254901961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Reg_Percent_2014</v>
      </c>
      <c r="G2" s="239" t="s">
        <v>525</v>
      </c>
      <c r="AJ2" s="240" t="str">
        <f>AJ4 &amp; AJ3</f>
        <v>'Credit_2015Q2'!d:d</v>
      </c>
      <c r="AK2" s="240" t="str">
        <f>AK4 &amp; AK3</f>
        <v>'Credit_2015Q2'!b1</v>
      </c>
      <c r="AL2" s="240" t="str">
        <f>AL4 &amp; AL3</f>
        <v>'Credit_2015Q2'!c1</v>
      </c>
      <c r="AQ2" s="236"/>
    </row>
    <row r="3" spans="1:61" ht="18" hidden="1" outlineLevel="1" x14ac:dyDescent="0.25">
      <c r="A3" s="233"/>
      <c r="E3" s="241" t="str">
        <f>"'" &amp; E2 &amp; "'!"</f>
        <v>'Reg_Percent_2014'!</v>
      </c>
      <c r="G3" s="234" t="str">
        <f>"'" &amp; G2 &amp; "'!"</f>
        <v>'Reg_Percent_2014'!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'Credit_2015Q2'!</v>
      </c>
      <c r="AK4" s="236" t="str">
        <f t="shared" ref="AK4:AL4" si="0">$AQ$5</f>
        <v>'Credit_2015Q2'!</v>
      </c>
      <c r="AL4" s="236" t="str">
        <f t="shared" si="0"/>
        <v>'Credit_2015Q2'!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(52)</v>
      </c>
      <c r="M5" s="505"/>
      <c r="N5" s="314"/>
      <c r="O5" s="503" t="str">
        <f ca="1">"Regulated" &amp; CHAR( 10 ) &amp; "(" &amp; O14 &amp; ")"</f>
        <v>Regulated
(37)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519</v>
      </c>
    </row>
    <row r="6" spans="1:61" ht="28.5" customHeight="1" x14ac:dyDescent="0.25">
      <c r="A6" s="299" t="s">
        <v>0</v>
      </c>
      <c r="B6" s="300" t="s">
        <v>517</v>
      </c>
      <c r="C6" s="338" t="s">
        <v>470</v>
      </c>
      <c r="D6" s="301"/>
      <c r="E6" s="302">
        <f ca="1">INDIRECT( E3 &amp; G1 )</f>
        <v>42004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3.8461538461538464E-2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2.7027027027027029E-2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13</v>
      </c>
      <c r="M9" s="296">
        <f t="shared" si="10"/>
        <v>0.25</v>
      </c>
      <c r="N9" s="318"/>
      <c r="O9" s="295">
        <f t="shared" ca="1" si="11"/>
        <v>8</v>
      </c>
      <c r="P9" s="296">
        <f t="shared" ca="1" si="12"/>
        <v>0.21621621621621623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13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15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21</v>
      </c>
      <c r="B14" s="304" t="s">
        <v>10</v>
      </c>
      <c r="C14" s="304">
        <v>20</v>
      </c>
      <c r="D14" s="304" t="s">
        <v>315</v>
      </c>
      <c r="E14" s="305" t="str">
        <f t="shared" ca="1" si="8"/>
        <v>R</v>
      </c>
      <c r="F14" s="306"/>
      <c r="G14" s="307">
        <f t="shared" ca="1" si="1"/>
        <v>36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18.807692307692307</v>
      </c>
      <c r="Z14" s="261"/>
      <c r="AA14" s="441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32</v>
      </c>
      <c r="BF14" s="240" t="str">
        <f t="shared" ca="1" si="7"/>
        <v>OGE Energy Corp.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OGE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40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36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MR</v>
      </c>
      <c r="F16" s="306"/>
      <c r="G16" s="307">
        <f t="shared" ca="1" si="1"/>
        <v>43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18.826923076923077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18.648648648648649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19.46153846153846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39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>
        <f t="shared" ca="1" si="18"/>
        <v>1</v>
      </c>
      <c r="AJ17" s="236">
        <f t="shared" ca="1" si="19"/>
        <v>8</v>
      </c>
      <c r="AK17" s="236" t="str">
        <f t="shared" ca="1" si="20"/>
        <v>A</v>
      </c>
      <c r="AL17" s="236">
        <f t="shared" ca="1" si="20"/>
        <v>21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44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51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526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WEC Energy Group,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2</v>
      </c>
      <c r="AW21" s="234">
        <f>COUNTIF( AV$7:AV21, AV21 )</f>
        <v>5</v>
      </c>
      <c r="AX21" s="287">
        <f t="shared" si="22"/>
        <v>2.5</v>
      </c>
      <c r="AY21" s="234">
        <f t="shared" si="23"/>
        <v>6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6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6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9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2</v>
      </c>
      <c r="AW42" s="234">
        <f>COUNTIF( AV$7:AV42, AV42 )</f>
        <v>8</v>
      </c>
      <c r="AX42" s="287">
        <f t="shared" si="22"/>
        <v>2.8</v>
      </c>
      <c r="AY42" s="234">
        <f t="shared" si="23"/>
        <v>9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443" t="s">
        <v>529</v>
      </c>
      <c r="E45" s="305" t="str">
        <f t="shared" ca="1" si="8"/>
        <v>R</v>
      </c>
      <c r="F45" s="306"/>
      <c r="G45" s="307">
        <f t="shared" ca="1" si="1"/>
        <v>56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460"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2</v>
      </c>
      <c r="AW45" s="234">
        <f>COUNTIF( AV$7:AV45, AV45 )</f>
        <v>9</v>
      </c>
      <c r="AX45" s="287">
        <f t="shared" si="22"/>
        <v>2.9</v>
      </c>
      <c r="AY45" s="234">
        <f t="shared" si="23"/>
        <v>10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10</v>
      </c>
      <c r="AS50" s="286">
        <v>20</v>
      </c>
      <c r="AT50" s="286" t="s">
        <v>327</v>
      </c>
      <c r="AV50" s="234">
        <f t="shared" si="21"/>
        <v>2</v>
      </c>
      <c r="AW50" s="234">
        <f>COUNTIF( AV$7:AV50, AV50 )</f>
        <v>10</v>
      </c>
      <c r="AX50" s="287">
        <f t="shared" si="22"/>
        <v>3</v>
      </c>
      <c r="AY50" s="234">
        <f t="shared" si="23"/>
        <v>11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11</v>
      </c>
      <c r="AX54" s="287">
        <f t="shared" si="22"/>
        <v>3.1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61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59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526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12</v>
      </c>
      <c r="AX56" s="287">
        <f t="shared" si="22"/>
        <v>3.2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57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13</v>
      </c>
      <c r="AX57" s="287">
        <f t="shared" si="22"/>
        <v>3.3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58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18.826923076923077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18.807692307692307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'Credit_2015Q1'!d:d</v>
      </c>
      <c r="AK2" s="240" t="str">
        <f>AK4 &amp; AK3</f>
        <v>'Credit_2015Q1'!b1</v>
      </c>
      <c r="AL2" s="240" t="str">
        <f>AL4 &amp; AL3</f>
        <v>'Credit_2015Q1'!c1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'Credit_2015Q1'!</v>
      </c>
      <c r="AK4" s="236" t="str">
        <f t="shared" ref="AK4:AL4" si="0">$AQ$5</f>
        <v>'Credit_2015Q1'!</v>
      </c>
      <c r="AL4" s="236" t="str">
        <f t="shared" si="0"/>
        <v>'Credit_2015Q1'!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(52)</v>
      </c>
      <c r="M5" s="505"/>
      <c r="N5" s="314"/>
      <c r="O5" s="503" t="str">
        <f ca="1">"Regulated" &amp; CHAR( 10 ) &amp; "(" &amp; O14 &amp; ")"</f>
        <v>Regulated
(37)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516</v>
      </c>
    </row>
    <row r="6" spans="1:61" ht="28.5" customHeight="1" x14ac:dyDescent="0.25">
      <c r="A6" s="299" t="s">
        <v>0</v>
      </c>
      <c r="B6" s="300" t="s">
        <v>514</v>
      </c>
      <c r="C6" s="338" t="s">
        <v>470</v>
      </c>
      <c r="D6" s="301"/>
      <c r="E6" s="302">
        <f ca="1">INDIRECT( E3 &amp; G1 )</f>
        <v>41639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2</v>
      </c>
      <c r="C7" s="304">
        <v>21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34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>
        <f t="shared" ref="AG7:AG64" ca="1" si="3">IF( LEN( $C7 ) = 0, "", IF( $C7 &gt; $AL7, 1, "" ) )</f>
        <v>1</v>
      </c>
      <c r="AH7" s="236" t="str">
        <f ca="1">IF( LEN( $C7 ) = 0, "", IF( $C7 &lt; $AL7, 1, "" ) )</f>
        <v/>
      </c>
      <c r="AJ7" s="236">
        <f ca="1">MATCH( $D7, INDIRECT( AJ$2 ), 0 )</f>
        <v>12</v>
      </c>
      <c r="AK7" s="236" t="str">
        <f ca="1">IF( ISNA( $AJ7 ), "", OFFSET( INDIRECT( AK$2 ), $AJ7-1, 0 ) )</f>
        <v>A-</v>
      </c>
      <c r="AL7" s="236">
        <f ca="1">IF( ISNA( $AJ7 ), "", OFFSET( INDIRECT( AL$2 ), $AJ7-1, 0 ) )</f>
        <v>20</v>
      </c>
      <c r="AM7" s="236" t="str">
        <f t="shared" ref="AM7:AM67" ca="1" si="4">IF( B7 = AK7, "", "Change" )</f>
        <v>Change</v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15</v>
      </c>
      <c r="AW7" s="234">
        <f>COUNTIF( AV7:AV$7, AV7 )</f>
        <v>1</v>
      </c>
      <c r="AX7" s="287">
        <f>AV7 + AW7 / 10</f>
        <v>15.1</v>
      </c>
      <c r="AY7" s="234">
        <f>RANK( AX7, $AX$7:$AX$63, 1 )</f>
        <v>15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20</v>
      </c>
      <c r="BF7" s="240" t="str">
        <f t="shared" ref="BF7:BI38" ca="1" si="7">OFFSET( AQ$6, $BD7, 0 )</f>
        <v>Eversource Energy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ES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47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5.7692307692307696E-2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5.4054054054054057E-2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1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7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44</v>
      </c>
      <c r="BF8" s="240" t="str">
        <f t="shared" ca="1" si="7"/>
        <v>Southern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SO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0.23076923076923078</v>
      </c>
      <c r="N9" s="318"/>
      <c r="O9" s="295">
        <f t="shared" ca="1" si="11"/>
        <v>7</v>
      </c>
      <c r="P9" s="296">
        <f t="shared" ca="1" si="12"/>
        <v>0.1891891891891892</v>
      </c>
      <c r="Q9" s="318"/>
      <c r="R9" s="295">
        <f t="shared" ca="1" si="13"/>
        <v>5</v>
      </c>
      <c r="S9" s="296">
        <f t="shared" ca="1" si="14"/>
        <v>0.38461538461538464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15</v>
      </c>
      <c r="AW9" s="234">
        <f>COUNTIF( AV$7:AV9, AV9 )</f>
        <v>2</v>
      </c>
      <c r="AX9" s="287">
        <f t="shared" si="22"/>
        <v>15.2</v>
      </c>
      <c r="AY9" s="234">
        <f t="shared" si="23"/>
        <v>16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29</v>
      </c>
      <c r="B10" s="304" t="s">
        <v>10</v>
      </c>
      <c r="C10" s="304">
        <v>20</v>
      </c>
      <c r="D10" s="304" t="s">
        <v>285</v>
      </c>
      <c r="E10" s="305" t="str">
        <f t="shared" ca="1" si="8"/>
        <v>MR</v>
      </c>
      <c r="F10" s="306"/>
      <c r="G10" s="307">
        <f t="shared" ca="1" si="1"/>
        <v>13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0.32692307692307693</v>
      </c>
      <c r="N10" s="318"/>
      <c r="O10" s="295">
        <f t="shared" ca="1" si="11"/>
        <v>11</v>
      </c>
      <c r="P10" s="296">
        <f t="shared" ca="1" si="12"/>
        <v>0.29729729729729731</v>
      </c>
      <c r="Q10" s="318"/>
      <c r="R10" s="295">
        <f t="shared" ca="1" si="13"/>
        <v>5</v>
      </c>
      <c r="S10" s="296">
        <f t="shared" ca="1" si="14"/>
        <v>0.38461538461538464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32</v>
      </c>
      <c r="AW10" s="234">
        <f>COUNTIF( AV$7:AV10, AV10 )</f>
        <v>1</v>
      </c>
      <c r="AX10" s="287">
        <f t="shared" si="22"/>
        <v>32.1</v>
      </c>
      <c r="AY10" s="234">
        <f t="shared" si="23"/>
        <v>32</v>
      </c>
      <c r="AZ10" s="236"/>
      <c r="BA10" s="236"/>
      <c r="BC10" s="234">
        <f t="shared" ca="1" si="24"/>
        <v>4</v>
      </c>
      <c r="BD10" s="288">
        <f t="shared" ca="1" si="6"/>
        <v>8</v>
      </c>
      <c r="BF10" s="240" t="str">
        <f t="shared" ca="1" si="7"/>
        <v>CenterPoint Energy,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CNP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15</v>
      </c>
      <c r="M11" s="296">
        <f t="shared" si="10"/>
        <v>0.28846153846153844</v>
      </c>
      <c r="N11" s="318"/>
      <c r="O11" s="295">
        <f t="shared" ca="1" si="11"/>
        <v>14</v>
      </c>
      <c r="P11" s="296">
        <f t="shared" ca="1" si="12"/>
        <v>0.3783783783783784</v>
      </c>
      <c r="Q11" s="318"/>
      <c r="R11" s="295">
        <f t="shared" ca="1" si="13"/>
        <v>1</v>
      </c>
      <c r="S11" s="296">
        <f t="shared" ca="1" si="14"/>
        <v>7.6923076923076927E-2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15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32</v>
      </c>
      <c r="AW11" s="234">
        <f>COUNTIF( AV$7:AV11, AV11 )</f>
        <v>2</v>
      </c>
      <c r="AX11" s="287">
        <f t="shared" si="22"/>
        <v>32.200000000000003</v>
      </c>
      <c r="AY11" s="234">
        <f t="shared" si="23"/>
        <v>33</v>
      </c>
      <c r="AZ11" s="236"/>
      <c r="BA11" s="236"/>
      <c r="BC11" s="234">
        <f t="shared" ca="1" si="24"/>
        <v>5</v>
      </c>
      <c r="BD11" s="288">
        <f t="shared" ca="1" si="6"/>
        <v>11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18</v>
      </c>
      <c r="B12" s="304" t="s">
        <v>10</v>
      </c>
      <c r="C12" s="304">
        <v>20</v>
      </c>
      <c r="D12" s="304" t="s">
        <v>86</v>
      </c>
      <c r="E12" s="305" t="str">
        <f t="shared" ca="1" si="8"/>
        <v>MR</v>
      </c>
      <c r="F12" s="306"/>
      <c r="G12" s="307">
        <f t="shared" ca="1" si="1"/>
        <v>17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5.7692307692307696E-2</v>
      </c>
      <c r="N12" s="318"/>
      <c r="O12" s="295">
        <f t="shared" ca="1" si="11"/>
        <v>1</v>
      </c>
      <c r="P12" s="296">
        <f t="shared" ca="1" si="12"/>
        <v>2.7027027027027029E-2</v>
      </c>
      <c r="Q12" s="318"/>
      <c r="R12" s="295">
        <f t="shared" ca="1" si="13"/>
        <v>1</v>
      </c>
      <c r="S12" s="296">
        <f t="shared" ca="1" si="14"/>
        <v>7.6923076923076927E-2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15</v>
      </c>
      <c r="AW12" s="234">
        <f>COUNTIF( AV$7:AV12, AV12 )</f>
        <v>3</v>
      </c>
      <c r="AX12" s="287">
        <f t="shared" si="22"/>
        <v>15.3</v>
      </c>
      <c r="AY12" s="234">
        <f t="shared" si="23"/>
        <v>17</v>
      </c>
      <c r="AZ12" s="236"/>
      <c r="BA12" s="236"/>
      <c r="BC12" s="234">
        <f t="shared" ca="1" si="24"/>
        <v>6</v>
      </c>
      <c r="BD12" s="288">
        <f t="shared" ca="1" si="6"/>
        <v>12</v>
      </c>
      <c r="BF12" s="240" t="str">
        <f t="shared" ca="1" si="7"/>
        <v>Dominion Resources,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</v>
      </c>
    </row>
    <row r="13" spans="1:61" ht="13.8" x14ac:dyDescent="0.25">
      <c r="A13" s="303" t="s">
        <v>32</v>
      </c>
      <c r="B13" s="304" t="s">
        <v>10</v>
      </c>
      <c r="C13" s="304">
        <v>20</v>
      </c>
      <c r="D13" s="304" t="s">
        <v>289</v>
      </c>
      <c r="E13" s="305" t="str">
        <f t="shared" ca="1" si="8"/>
        <v>R</v>
      </c>
      <c r="F13" s="306"/>
      <c r="G13" s="307">
        <f t="shared" ca="1" si="1"/>
        <v>19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3.8461538461538464E-2</v>
      </c>
      <c r="N13" s="319"/>
      <c r="O13" s="297">
        <f t="shared" ca="1" si="11"/>
        <v>2</v>
      </c>
      <c r="P13" s="298">
        <f t="shared" ca="1" si="12"/>
        <v>5.4054054054054057E-2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8"/>
        <v/>
      </c>
      <c r="AJ13" s="236">
        <f t="shared" ca="1" si="19"/>
        <v>26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4"/>
        <v>Change</v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32</v>
      </c>
      <c r="AW13" s="234">
        <f>COUNTIF( AV$7:AV13, AV13 )</f>
        <v>3</v>
      </c>
      <c r="AX13" s="287">
        <f t="shared" si="22"/>
        <v>32.299999999999997</v>
      </c>
      <c r="AY13" s="234">
        <f t="shared" si="23"/>
        <v>34</v>
      </c>
      <c r="AZ13" s="236"/>
      <c r="BA13" s="236"/>
      <c r="BC13" s="234">
        <f t="shared" ca="1" si="24"/>
        <v>7</v>
      </c>
      <c r="BD13" s="288">
        <f t="shared" ca="1" si="6"/>
        <v>15</v>
      </c>
      <c r="BF13" s="240" t="str">
        <f t="shared" ca="1" si="7"/>
        <v>Duke Energy Corporation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DUK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52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18.826923076923077</v>
      </c>
      <c r="Z14" s="261"/>
      <c r="AA14" s="437">
        <f ca="1">SUM(AA8:AA13)</f>
        <v>52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3</v>
      </c>
      <c r="AW14" s="234">
        <f>COUNTIF( AV$7:AV14, AV14 )</f>
        <v>2</v>
      </c>
      <c r="AX14" s="287">
        <f t="shared" si="22"/>
        <v>3.2</v>
      </c>
      <c r="AY14" s="234">
        <f t="shared" si="23"/>
        <v>4</v>
      </c>
      <c r="AZ14" s="236"/>
      <c r="BA14" s="236"/>
      <c r="BC14" s="234">
        <f t="shared" ca="1" si="24"/>
        <v>8</v>
      </c>
      <c r="BD14" s="288">
        <f t="shared" ca="1" si="6"/>
        <v>29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15</v>
      </c>
      <c r="AW15" s="234">
        <f>COUNTIF( AV$7:AV15, AV15 )</f>
        <v>4</v>
      </c>
      <c r="AX15" s="287">
        <f t="shared" si="22"/>
        <v>15.4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32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18.846153846153847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18.675675675675677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19.46153846153846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15</v>
      </c>
      <c r="AW16" s="234">
        <f>COUNTIF( AV$7:AV16, AV16 )</f>
        <v>5</v>
      </c>
      <c r="AX16" s="287">
        <f t="shared" si="22"/>
        <v>15.5</v>
      </c>
      <c r="AY16" s="234">
        <f t="shared" si="23"/>
        <v>19</v>
      </c>
      <c r="AZ16" s="236"/>
      <c r="BA16" s="236"/>
      <c r="BC16" s="234">
        <f t="shared" ca="1" si="24"/>
        <v>10</v>
      </c>
      <c r="BD16" s="288">
        <f t="shared" ca="1" si="6"/>
        <v>36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43</v>
      </c>
      <c r="B17" s="304" t="s">
        <v>10</v>
      </c>
      <c r="C17" s="304">
        <v>20</v>
      </c>
      <c r="D17" s="304" t="s">
        <v>324</v>
      </c>
      <c r="E17" s="305" t="str">
        <f t="shared" ca="1" si="8"/>
        <v>MR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>
        <f t="shared" ca="1" si="3"/>
        <v>1</v>
      </c>
      <c r="AH17" s="236" t="str">
        <f t="shared" ca="1" si="18"/>
        <v/>
      </c>
      <c r="AJ17" s="236">
        <f t="shared" ca="1" si="19"/>
        <v>51</v>
      </c>
      <c r="AK17" s="236" t="str">
        <f t="shared" ca="1" si="20"/>
        <v>BBB</v>
      </c>
      <c r="AL17" s="236">
        <f t="shared" ca="1" si="20"/>
        <v>18</v>
      </c>
      <c r="AM17" s="236" t="str">
        <f t="shared" ca="1" si="4"/>
        <v>Change</v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3</v>
      </c>
      <c r="AW17" s="234">
        <f>COUNTIF( AV$7:AV17, AV17 )</f>
        <v>3</v>
      </c>
      <c r="AX17" s="287">
        <f t="shared" si="22"/>
        <v>3.3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6"/>
        <v>39</v>
      </c>
      <c r="BF17" s="240" t="str">
        <f t="shared" ca="1" si="7"/>
        <v>PPL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PPL</v>
      </c>
    </row>
    <row r="18" spans="1:61" ht="13.8" x14ac:dyDescent="0.25">
      <c r="A18" s="303" t="s">
        <v>14</v>
      </c>
      <c r="B18" s="304" t="s">
        <v>10</v>
      </c>
      <c r="C18" s="304">
        <v>20</v>
      </c>
      <c r="D18" s="304" t="s">
        <v>334</v>
      </c>
      <c r="E18" s="305" t="str">
        <f t="shared" ca="1" si="8"/>
        <v>MR</v>
      </c>
      <c r="F18" s="306"/>
      <c r="G18" s="307">
        <f t="shared" ca="1" si="1"/>
        <v>52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3</v>
      </c>
      <c r="AW18" s="234">
        <f>COUNTIF( AV$7:AV18, AV18 )</f>
        <v>4</v>
      </c>
      <c r="AX18" s="287">
        <f t="shared" si="22"/>
        <v>3.4</v>
      </c>
      <c r="AY18" s="234">
        <f t="shared" si="23"/>
        <v>6</v>
      </c>
      <c r="AZ18" s="236"/>
      <c r="BA18" s="236"/>
      <c r="BC18" s="234">
        <f t="shared" ca="1" si="24"/>
        <v>12</v>
      </c>
      <c r="BD18" s="288">
        <f t="shared" ca="1" si="6"/>
        <v>48</v>
      </c>
      <c r="BF18" s="240" t="str">
        <f t="shared" ca="1" si="7"/>
        <v>Vectren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VVC</v>
      </c>
    </row>
    <row r="19" spans="1:61" ht="13.8" x14ac:dyDescent="0.25">
      <c r="A19" s="303" t="s">
        <v>26</v>
      </c>
      <c r="B19" s="304" t="s">
        <v>10</v>
      </c>
      <c r="C19" s="304">
        <v>20</v>
      </c>
      <c r="D19" s="304" t="s">
        <v>335</v>
      </c>
      <c r="E19" s="305" t="str">
        <f t="shared" ca="1" si="8"/>
        <v>R</v>
      </c>
      <c r="F19" s="306"/>
      <c r="G19" s="307">
        <f t="shared" ca="1" si="1"/>
        <v>54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50</v>
      </c>
      <c r="BF19" s="240" t="str">
        <f t="shared" ca="1" si="7"/>
        <v>Wisconsin Energy Corporation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WEC</v>
      </c>
    </row>
    <row r="20" spans="1:61" ht="13.8" x14ac:dyDescent="0.25">
      <c r="A20" s="303" t="s">
        <v>257</v>
      </c>
      <c r="B20" s="304" t="s">
        <v>10</v>
      </c>
      <c r="C20" s="304">
        <v>20</v>
      </c>
      <c r="D20" s="304" t="s">
        <v>337</v>
      </c>
      <c r="E20" s="305" t="str">
        <f t="shared" ca="1" si="8"/>
        <v>R</v>
      </c>
      <c r="F20" s="306"/>
      <c r="G20" s="307">
        <f t="shared" ca="1" si="1"/>
        <v>55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19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15</v>
      </c>
      <c r="AW20" s="234">
        <f>COUNTIF( AV$7:AV20, AV20 )</f>
        <v>6</v>
      </c>
      <c r="AX20" s="287">
        <f t="shared" si="22"/>
        <v>15.6</v>
      </c>
      <c r="AY20" s="234">
        <f t="shared" si="23"/>
        <v>20</v>
      </c>
      <c r="AZ20" s="236"/>
      <c r="BA20" s="236"/>
      <c r="BC20" s="234">
        <f t="shared" ca="1" si="24"/>
        <v>14</v>
      </c>
      <c r="BD20" s="288">
        <f t="shared" ca="1" si="6"/>
        <v>51</v>
      </c>
      <c r="BF20" s="240" t="str">
        <f t="shared" ca="1" si="7"/>
        <v>Xcel Energy Inc.</v>
      </c>
      <c r="BG20" s="240" t="str">
        <f t="shared" ca="1" si="7"/>
        <v>A-</v>
      </c>
      <c r="BH20" s="240">
        <f t="shared" ca="1" si="7"/>
        <v>20</v>
      </c>
      <c r="BI20" s="240" t="str">
        <f t="shared" ca="1" si="7"/>
        <v>XEL</v>
      </c>
    </row>
    <row r="21" spans="1:61" ht="13.8" x14ac:dyDescent="0.25">
      <c r="A21" s="303" t="s">
        <v>15</v>
      </c>
      <c r="B21" s="304" t="s">
        <v>16</v>
      </c>
      <c r="C21" s="304">
        <v>19</v>
      </c>
      <c r="D21" s="304" t="s">
        <v>276</v>
      </c>
      <c r="E21" s="305" t="str">
        <f t="shared" ca="1" si="8"/>
        <v>R</v>
      </c>
      <c r="F21" s="306"/>
      <c r="G21" s="307">
        <f t="shared" ca="1" si="1"/>
        <v>7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10</v>
      </c>
      <c r="AS21" s="286">
        <v>20</v>
      </c>
      <c r="AT21" s="286" t="s">
        <v>289</v>
      </c>
      <c r="AV21" s="234">
        <f t="shared" si="21"/>
        <v>3</v>
      </c>
      <c r="AW21" s="234">
        <f>COUNTIF( AV$7:AV21, AV21 )</f>
        <v>5</v>
      </c>
      <c r="AX21" s="287">
        <f t="shared" si="22"/>
        <v>3.5</v>
      </c>
      <c r="AY21" s="234">
        <f t="shared" si="23"/>
        <v>7</v>
      </c>
      <c r="AZ21" s="236"/>
      <c r="BA21" s="236"/>
      <c r="BC21" s="234">
        <f t="shared" ca="1" si="24"/>
        <v>15</v>
      </c>
      <c r="BD21" s="288">
        <f t="shared" ca="1" si="6"/>
        <v>1</v>
      </c>
      <c r="BF21" s="240" t="str">
        <f t="shared" ca="1" si="7"/>
        <v>ALLETE, Inc.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ALE</v>
      </c>
    </row>
    <row r="22" spans="1:61" ht="13.8" x14ac:dyDescent="0.25">
      <c r="A22" s="303" t="s">
        <v>9</v>
      </c>
      <c r="B22" s="304" t="s">
        <v>16</v>
      </c>
      <c r="C22" s="304">
        <v>19</v>
      </c>
      <c r="D22" s="304" t="s">
        <v>273</v>
      </c>
      <c r="E22" s="305" t="str">
        <f t="shared" ca="1" si="8"/>
        <v>R</v>
      </c>
      <c r="F22" s="306"/>
      <c r="G22" s="307">
        <f t="shared" ca="1" si="1"/>
        <v>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15</v>
      </c>
      <c r="AW22" s="234">
        <f>COUNTIF( AV$7:AV22, AV22 )</f>
        <v>7</v>
      </c>
      <c r="AX22" s="287">
        <f t="shared" si="22"/>
        <v>15.7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3</v>
      </c>
      <c r="BF22" s="240" t="str">
        <f t="shared" ca="1" si="7"/>
        <v>Ameren Corporation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AEE</v>
      </c>
    </row>
    <row r="23" spans="1:61" ht="13.8" x14ac:dyDescent="0.25">
      <c r="A23" s="303" t="s">
        <v>500</v>
      </c>
      <c r="B23" s="304" t="s">
        <v>16</v>
      </c>
      <c r="C23" s="304">
        <v>19</v>
      </c>
      <c r="D23" s="304" t="s">
        <v>446</v>
      </c>
      <c r="E23" s="305" t="str">
        <f t="shared" ca="1" si="8"/>
        <v>MR</v>
      </c>
      <c r="F23" s="306"/>
      <c r="G23" s="307">
        <f t="shared" ca="1" si="1"/>
        <v>61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32</v>
      </c>
      <c r="AW23" s="234">
        <f>COUNTIF( AV$7:AV23, AV23 )</f>
        <v>4</v>
      </c>
      <c r="AX23" s="287">
        <f t="shared" si="22"/>
        <v>32.4</v>
      </c>
      <c r="AY23" s="234">
        <f t="shared" si="23"/>
        <v>35</v>
      </c>
      <c r="AZ23" s="236"/>
      <c r="BA23" s="236"/>
      <c r="BC23" s="234">
        <f t="shared" ca="1" si="24"/>
        <v>17</v>
      </c>
      <c r="BD23" s="288">
        <f t="shared" ca="1" si="6"/>
        <v>6</v>
      </c>
      <c r="BF23" s="240" t="str">
        <f t="shared" ca="1" si="7"/>
        <v>Berkshire Energy Holdings Company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**BRK</v>
      </c>
    </row>
    <row r="24" spans="1:61" ht="13.8" x14ac:dyDescent="0.25">
      <c r="A24" s="303" t="s">
        <v>30</v>
      </c>
      <c r="B24" s="304" t="s">
        <v>16</v>
      </c>
      <c r="C24" s="304">
        <v>19</v>
      </c>
      <c r="D24" s="304" t="s">
        <v>284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32</v>
      </c>
      <c r="AW24" s="234">
        <f>COUNTIF( AV$7:AV24, AV24 )</f>
        <v>5</v>
      </c>
      <c r="AX24" s="287">
        <f t="shared" si="22"/>
        <v>32.5</v>
      </c>
      <c r="AY24" s="234">
        <f t="shared" si="23"/>
        <v>36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Cleco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CNL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32</v>
      </c>
      <c r="AW25" s="234">
        <f>COUNTIF( AV$7:AV25, AV25 )</f>
        <v>6</v>
      </c>
      <c r="AX25" s="287">
        <f t="shared" si="22"/>
        <v>32.6</v>
      </c>
      <c r="AY25" s="234">
        <f t="shared" si="23"/>
        <v>37</v>
      </c>
      <c r="AZ25" s="236"/>
      <c r="BA25" s="236"/>
      <c r="BC25" s="234">
        <f t="shared" ca="1" si="24"/>
        <v>19</v>
      </c>
      <c r="BD25" s="288">
        <f t="shared" ca="1" si="6"/>
        <v>10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31</v>
      </c>
      <c r="B26" s="304" t="s">
        <v>16</v>
      </c>
      <c r="C26" s="304">
        <v>19</v>
      </c>
      <c r="D26" s="304" t="s">
        <v>288</v>
      </c>
      <c r="E26" s="305" t="str">
        <f t="shared" ca="1" si="8"/>
        <v>R</v>
      </c>
      <c r="F26" s="306"/>
      <c r="G26" s="307">
        <f t="shared" ca="1" si="1"/>
        <v>18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515</v>
      </c>
      <c r="AR26" s="286" t="s">
        <v>2</v>
      </c>
      <c r="AS26" s="286">
        <v>21</v>
      </c>
      <c r="AT26" s="289" t="s">
        <v>511</v>
      </c>
      <c r="AV26" s="234">
        <f t="shared" si="21"/>
        <v>1</v>
      </c>
      <c r="AW26" s="234">
        <f>COUNTIF( AV$7:AV26, AV26 )</f>
        <v>1</v>
      </c>
      <c r="AX26" s="287">
        <f t="shared" si="22"/>
        <v>1.1000000000000001</v>
      </c>
      <c r="AY26" s="234">
        <f t="shared" si="23"/>
        <v>1</v>
      </c>
      <c r="AZ26" s="236"/>
      <c r="BA26" s="236"/>
      <c r="BC26" s="234">
        <f t="shared" ca="1" si="24"/>
        <v>20</v>
      </c>
      <c r="BD26" s="288">
        <f t="shared" ca="1" si="6"/>
        <v>14</v>
      </c>
      <c r="BF26" s="240" t="str">
        <f t="shared" ca="1" si="7"/>
        <v>DTE Energy Company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DTE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9" t="s">
        <v>297</v>
      </c>
      <c r="AV27" s="234">
        <f t="shared" si="21"/>
        <v>32</v>
      </c>
      <c r="AW27" s="234">
        <f>COUNTIF( AV$7:AV27, AV27 )</f>
        <v>7</v>
      </c>
      <c r="AX27" s="287">
        <f t="shared" si="22"/>
        <v>32.700000000000003</v>
      </c>
      <c r="AY27" s="234">
        <f t="shared" si="23"/>
        <v>38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15</v>
      </c>
      <c r="AW29" s="234">
        <f>COUNTIF( AV$7:AV29, AV29 )</f>
        <v>8</v>
      </c>
      <c r="AX29" s="287">
        <f t="shared" si="22"/>
        <v>15.8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28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40</v>
      </c>
      <c r="B30" s="304" t="s">
        <v>16</v>
      </c>
      <c r="C30" s="304">
        <v>19</v>
      </c>
      <c r="D30" s="304" t="s">
        <v>310</v>
      </c>
      <c r="E30" s="305" t="str">
        <f t="shared" ca="1" si="8"/>
        <v>MR</v>
      </c>
      <c r="F30" s="306"/>
      <c r="G30" s="307">
        <f t="shared" ca="1" si="1"/>
        <v>33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>
        <f t="shared" ca="1" si="3"/>
        <v>1</v>
      </c>
      <c r="AH30" s="236" t="str">
        <f t="shared" ca="1" si="18"/>
        <v/>
      </c>
      <c r="AJ30" s="236">
        <f t="shared" ca="1" si="19"/>
        <v>55</v>
      </c>
      <c r="AK30" s="236" t="str">
        <f t="shared" ca="1" si="20"/>
        <v>BBB-</v>
      </c>
      <c r="AL30" s="236">
        <f t="shared" ca="1" si="20"/>
        <v>17</v>
      </c>
      <c r="AM30" s="236" t="str">
        <f t="shared" ca="1" si="4"/>
        <v>Change</v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30</v>
      </c>
      <c r="BF30" s="240" t="str">
        <f t="shared" ca="1" si="7"/>
        <v>NiSource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NI</v>
      </c>
    </row>
    <row r="31" spans="1:61" ht="13.8" x14ac:dyDescent="0.25">
      <c r="A31" s="303" t="s">
        <v>23</v>
      </c>
      <c r="B31" s="304" t="s">
        <v>16</v>
      </c>
      <c r="C31" s="304">
        <v>19</v>
      </c>
      <c r="D31" s="304" t="s">
        <v>322</v>
      </c>
      <c r="E31" s="305" t="str">
        <f t="shared" ca="1" si="8"/>
        <v>R</v>
      </c>
      <c r="F31" s="306"/>
      <c r="G31" s="307">
        <f t="shared" ca="1" si="1"/>
        <v>38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32</v>
      </c>
      <c r="AW31" s="234">
        <f>COUNTIF( AV$7:AV31, AV31 )</f>
        <v>8</v>
      </c>
      <c r="AX31" s="287">
        <f t="shared" si="22"/>
        <v>32.799999999999997</v>
      </c>
      <c r="AY31" s="234">
        <f t="shared" si="23"/>
        <v>39</v>
      </c>
      <c r="AZ31" s="236"/>
      <c r="BA31" s="236"/>
      <c r="BC31" s="234">
        <f t="shared" ca="1" si="24"/>
        <v>25</v>
      </c>
      <c r="BD31" s="288">
        <f t="shared" ca="1" si="6"/>
        <v>34</v>
      </c>
      <c r="BF31" s="240" t="str">
        <f t="shared" ca="1" si="7"/>
        <v>Pepco Holdings,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POM</v>
      </c>
    </row>
    <row r="32" spans="1:61" ht="13.8" x14ac:dyDescent="0.25">
      <c r="A32" s="303" t="s">
        <v>45</v>
      </c>
      <c r="B32" s="304" t="s">
        <v>16</v>
      </c>
      <c r="C32" s="304">
        <v>19</v>
      </c>
      <c r="D32" s="304" t="s">
        <v>318</v>
      </c>
      <c r="E32" s="305" t="str">
        <f t="shared" ca="1" si="8"/>
        <v>MR</v>
      </c>
      <c r="F32" s="306"/>
      <c r="G32" s="307">
        <f t="shared" ca="1" si="1"/>
        <v>44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32</v>
      </c>
      <c r="AW32" s="234">
        <f>COUNTIF( AV$7:AV32, AV32 )</f>
        <v>9</v>
      </c>
      <c r="AX32" s="287">
        <f t="shared" si="22"/>
        <v>32.9</v>
      </c>
      <c r="AY32" s="234">
        <f t="shared" si="23"/>
        <v>40</v>
      </c>
      <c r="AZ32" s="236"/>
      <c r="BA32" s="236"/>
      <c r="BC32" s="234">
        <f t="shared" ca="1" si="24"/>
        <v>26</v>
      </c>
      <c r="BD32" s="288">
        <f t="shared" ca="1" si="6"/>
        <v>40</v>
      </c>
      <c r="BF32" s="240" t="str">
        <f t="shared" ca="1" si="7"/>
        <v>Public Service Enterprise Group Incorporated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PEG</v>
      </c>
    </row>
    <row r="33" spans="1:61" ht="13.8" x14ac:dyDescent="0.25">
      <c r="A33" s="303" t="s">
        <v>13</v>
      </c>
      <c r="B33" s="304" t="s">
        <v>16</v>
      </c>
      <c r="C33" s="304">
        <v>19</v>
      </c>
      <c r="D33" s="304" t="s">
        <v>326</v>
      </c>
      <c r="E33" s="305" t="str">
        <f t="shared" ca="1" si="8"/>
        <v>MR</v>
      </c>
      <c r="F33" s="306"/>
      <c r="G33" s="307">
        <f t="shared" ca="1" si="1"/>
        <v>45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42</v>
      </c>
      <c r="BF33" s="240" t="str">
        <f t="shared" ca="1" si="7"/>
        <v>SCANA Corporation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SCG</v>
      </c>
    </row>
    <row r="34" spans="1:61" ht="13.8" x14ac:dyDescent="0.25">
      <c r="A34" s="303" t="s">
        <v>25</v>
      </c>
      <c r="B34" s="304" t="s">
        <v>16</v>
      </c>
      <c r="C34" s="304">
        <v>19</v>
      </c>
      <c r="D34" s="304" t="s">
        <v>328</v>
      </c>
      <c r="E34" s="305" t="str">
        <f t="shared" ca="1" si="8"/>
        <v>MR</v>
      </c>
      <c r="F34" s="306"/>
      <c r="G34" s="307">
        <f t="shared" ca="1" si="1"/>
        <v>46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15</v>
      </c>
      <c r="AW34" s="234">
        <f>COUNTIF( AV$7:AV34, AV34 )</f>
        <v>9</v>
      </c>
      <c r="AX34" s="287">
        <f t="shared" si="22"/>
        <v>15.9</v>
      </c>
      <c r="AY34" s="234">
        <f t="shared" si="23"/>
        <v>23</v>
      </c>
      <c r="AZ34" s="236"/>
      <c r="BA34" s="236"/>
      <c r="BC34" s="234">
        <f t="shared" ca="1" si="24"/>
        <v>28</v>
      </c>
      <c r="BD34" s="288">
        <f t="shared" ca="1" si="6"/>
        <v>43</v>
      </c>
      <c r="BF34" s="240" t="str">
        <f t="shared" ca="1" si="7"/>
        <v>Sempra Energy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SRE</v>
      </c>
    </row>
    <row r="35" spans="1:61" ht="13.8" x14ac:dyDescent="0.25">
      <c r="A35" s="303" t="s">
        <v>62</v>
      </c>
      <c r="B35" s="304" t="s">
        <v>16</v>
      </c>
      <c r="C35" s="304">
        <v>19</v>
      </c>
      <c r="D35" s="304" t="s">
        <v>329</v>
      </c>
      <c r="E35" s="305" t="str">
        <f t="shared" ca="1" si="8"/>
        <v>R</v>
      </c>
      <c r="F35" s="306"/>
      <c r="G35" s="307">
        <f t="shared" ca="1" si="1"/>
        <v>48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34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3</v>
      </c>
      <c r="AW35" s="234">
        <f>COUNTIF( AV$7:AV35, AV35 )</f>
        <v>6</v>
      </c>
      <c r="AX35" s="287">
        <f t="shared" si="22"/>
        <v>3.6</v>
      </c>
      <c r="AY35" s="234">
        <f t="shared" si="23"/>
        <v>8</v>
      </c>
      <c r="AZ35" s="236"/>
      <c r="BA35" s="236"/>
      <c r="BC35" s="234">
        <f t="shared" ca="1" si="24"/>
        <v>29</v>
      </c>
      <c r="BD35" s="288">
        <f t="shared" ca="1" si="6"/>
        <v>45</v>
      </c>
      <c r="BF35" s="240" t="str">
        <f t="shared" ca="1" si="7"/>
        <v>TECO Energy, Inc.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TE</v>
      </c>
    </row>
    <row r="36" spans="1:61" ht="13.8" x14ac:dyDescent="0.25">
      <c r="A36" s="303" t="s">
        <v>76</v>
      </c>
      <c r="B36" s="304" t="s">
        <v>16</v>
      </c>
      <c r="C36" s="304">
        <v>19</v>
      </c>
      <c r="D36" s="304" t="s">
        <v>333</v>
      </c>
      <c r="E36" s="305" t="str">
        <f t="shared" ca="1" si="8"/>
        <v>R</v>
      </c>
      <c r="F36" s="306"/>
      <c r="G36" s="307">
        <f t="shared" ca="1" si="1"/>
        <v>50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35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40</v>
      </c>
      <c r="AR36" s="286" t="s">
        <v>16</v>
      </c>
      <c r="AS36" s="286">
        <v>19</v>
      </c>
      <c r="AT36" s="289" t="s">
        <v>310</v>
      </c>
      <c r="AV36" s="234">
        <f t="shared" si="21"/>
        <v>15</v>
      </c>
      <c r="AW36" s="234">
        <f>COUNTIF( AV$7:AV36, AV36 )</f>
        <v>10</v>
      </c>
      <c r="AX36" s="287">
        <f t="shared" si="22"/>
        <v>16</v>
      </c>
      <c r="AY36" s="234">
        <f t="shared" si="23"/>
        <v>24</v>
      </c>
      <c r="AZ36" s="236"/>
      <c r="BA36" s="236"/>
      <c r="BC36" s="234">
        <f t="shared" ca="1" si="24"/>
        <v>30</v>
      </c>
      <c r="BD36" s="288">
        <f t="shared" ca="1" si="6"/>
        <v>47</v>
      </c>
      <c r="BF36" s="240" t="str">
        <f t="shared" ca="1" si="7"/>
        <v>Unitil Corporation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*UTL</v>
      </c>
    </row>
    <row r="37" spans="1:61" ht="13.8" x14ac:dyDescent="0.25">
      <c r="A37" s="303" t="s">
        <v>59</v>
      </c>
      <c r="B37" s="304" t="s">
        <v>16</v>
      </c>
      <c r="C37" s="304">
        <v>19</v>
      </c>
      <c r="D37" s="304" t="s">
        <v>336</v>
      </c>
      <c r="E37" s="305" t="str">
        <f t="shared" ca="1" si="8"/>
        <v>R</v>
      </c>
      <c r="F37" s="306"/>
      <c r="G37" s="307">
        <f t="shared" ca="1" si="1"/>
        <v>53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36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66</v>
      </c>
      <c r="AR37" s="286" t="s">
        <v>28</v>
      </c>
      <c r="AS37" s="286">
        <v>18</v>
      </c>
      <c r="AT37" s="286" t="s">
        <v>314</v>
      </c>
      <c r="AV37" s="234">
        <f t="shared" si="21"/>
        <v>32</v>
      </c>
      <c r="AW37" s="234">
        <f>COUNTIF( AV$7:AV37, AV37 )</f>
        <v>10</v>
      </c>
      <c r="AX37" s="287">
        <f t="shared" si="22"/>
        <v>33</v>
      </c>
      <c r="AY37" s="234">
        <f t="shared" si="23"/>
        <v>41</v>
      </c>
      <c r="AZ37" s="236"/>
      <c r="BA37" s="236"/>
      <c r="BC37" s="234">
        <f t="shared" ca="1" si="24"/>
        <v>31</v>
      </c>
      <c r="BD37" s="288">
        <f t="shared" ca="1" si="6"/>
        <v>49</v>
      </c>
      <c r="BF37" s="240" t="str">
        <f t="shared" ca="1" si="7"/>
        <v>Westar Energy, Inc.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WR</v>
      </c>
    </row>
    <row r="38" spans="1:61" ht="13.8" x14ac:dyDescent="0.25">
      <c r="A38" s="303" t="s">
        <v>258</v>
      </c>
      <c r="B38" s="304" t="s">
        <v>28</v>
      </c>
      <c r="C38" s="304">
        <v>18</v>
      </c>
      <c r="D38" s="304" t="s">
        <v>274</v>
      </c>
      <c r="E38" s="305" t="str">
        <f t="shared" ca="1" si="8"/>
        <v>R</v>
      </c>
      <c r="F38" s="306"/>
      <c r="G38" s="307">
        <f t="shared" ca="1" si="1"/>
        <v>10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21</v>
      </c>
      <c r="AR38" s="286" t="s">
        <v>10</v>
      </c>
      <c r="AS38" s="286">
        <v>20</v>
      </c>
      <c r="AT38" s="286" t="s">
        <v>315</v>
      </c>
      <c r="AV38" s="234">
        <f t="shared" si="21"/>
        <v>3</v>
      </c>
      <c r="AW38" s="234">
        <f>COUNTIF( AV$7:AV38, AV38 )</f>
        <v>7</v>
      </c>
      <c r="AX38" s="287">
        <f t="shared" si="22"/>
        <v>3.7</v>
      </c>
      <c r="AY38" s="234">
        <f t="shared" si="23"/>
        <v>9</v>
      </c>
      <c r="AZ38" s="236"/>
      <c r="BA38" s="236"/>
      <c r="BC38" s="234">
        <f t="shared" ca="1" si="24"/>
        <v>32</v>
      </c>
      <c r="BD38" s="288">
        <f t="shared" ca="1" si="6"/>
        <v>4</v>
      </c>
      <c r="BF38" s="240" t="str">
        <f t="shared" ca="1" si="7"/>
        <v>American Electric Power Company, Inc.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AEP</v>
      </c>
    </row>
    <row r="39" spans="1:61" ht="13.8" x14ac:dyDescent="0.25">
      <c r="A39" s="303" t="s">
        <v>55</v>
      </c>
      <c r="B39" s="304" t="s">
        <v>28</v>
      </c>
      <c r="C39" s="304">
        <v>18</v>
      </c>
      <c r="D39" s="304" t="s">
        <v>277</v>
      </c>
      <c r="E39" s="305" t="str">
        <f t="shared" ca="1" si="8"/>
        <v>R</v>
      </c>
      <c r="F39" s="306"/>
      <c r="G39" s="307">
        <f t="shared" ca="1" si="1"/>
        <v>11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22</v>
      </c>
      <c r="AR39" s="286" t="s">
        <v>28</v>
      </c>
      <c r="AS39" s="286">
        <v>18</v>
      </c>
      <c r="AT39" s="286" t="s">
        <v>316</v>
      </c>
      <c r="AV39" s="234">
        <f t="shared" si="21"/>
        <v>32</v>
      </c>
      <c r="AW39" s="234">
        <f>COUNTIF( AV$7:AV39, AV39 )</f>
        <v>11</v>
      </c>
      <c r="AX39" s="287">
        <f t="shared" si="22"/>
        <v>33.1</v>
      </c>
      <c r="AY39" s="234">
        <f t="shared" si="23"/>
        <v>42</v>
      </c>
      <c r="AZ39" s="236"/>
      <c r="BA39" s="236"/>
      <c r="BC39" s="234">
        <f t="shared" ca="1" si="24"/>
        <v>33</v>
      </c>
      <c r="BD39" s="288">
        <f t="shared" ca="1" si="6"/>
        <v>5</v>
      </c>
      <c r="BF39" s="240" t="str">
        <f t="shared" ref="BF39:BI63" ca="1" si="25">OFFSET( AQ$6, $BD39, 0 )</f>
        <v>Avista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AVA</v>
      </c>
    </row>
    <row r="40" spans="1:61" ht="13.8" x14ac:dyDescent="0.25">
      <c r="A40" s="303" t="s">
        <v>48</v>
      </c>
      <c r="B40" s="304" t="s">
        <v>28</v>
      </c>
      <c r="C40" s="304">
        <v>18</v>
      </c>
      <c r="D40" s="304" t="s">
        <v>279</v>
      </c>
      <c r="E40" s="305" t="str">
        <f t="shared" ca="1" si="8"/>
        <v>R</v>
      </c>
      <c r="F40" s="306"/>
      <c r="G40" s="307">
        <f t="shared" ca="1" si="1"/>
        <v>12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23</v>
      </c>
      <c r="AR40" s="286" t="s">
        <v>16</v>
      </c>
      <c r="AS40" s="286">
        <v>19</v>
      </c>
      <c r="AT40" s="286" t="s">
        <v>322</v>
      </c>
      <c r="AV40" s="234">
        <f t="shared" si="21"/>
        <v>15</v>
      </c>
      <c r="AW40" s="234">
        <f>COUNTIF( AV$7:AV40, AV40 )</f>
        <v>11</v>
      </c>
      <c r="AX40" s="287">
        <f t="shared" si="22"/>
        <v>16.100000000000001</v>
      </c>
      <c r="AY40" s="234">
        <f t="shared" si="23"/>
        <v>25</v>
      </c>
      <c r="AZ40" s="236"/>
      <c r="BA40" s="236"/>
      <c r="BC40" s="234">
        <f t="shared" ca="1" si="24"/>
        <v>34</v>
      </c>
      <c r="BD40" s="288">
        <f t="shared" ca="1" si="6"/>
        <v>7</v>
      </c>
      <c r="BF40" s="240" t="str">
        <f t="shared" ca="1" si="25"/>
        <v>Black Hills Corporation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BKH</v>
      </c>
    </row>
    <row r="41" spans="1:61" ht="13.8" x14ac:dyDescent="0.25">
      <c r="A41" s="303" t="s">
        <v>34</v>
      </c>
      <c r="B41" s="304" t="s">
        <v>28</v>
      </c>
      <c r="C41" s="304">
        <v>18</v>
      </c>
      <c r="D41" s="304" t="s">
        <v>293</v>
      </c>
      <c r="E41" s="305" t="str">
        <f t="shared" ca="1" si="8"/>
        <v>R</v>
      </c>
      <c r="F41" s="306"/>
      <c r="G41" s="307">
        <f t="shared" ca="1" si="1"/>
        <v>21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53</v>
      </c>
      <c r="AR41" s="286" t="s">
        <v>28</v>
      </c>
      <c r="AS41" s="286">
        <v>18</v>
      </c>
      <c r="AT41" s="286" t="s">
        <v>317</v>
      </c>
      <c r="AV41" s="234">
        <f t="shared" si="21"/>
        <v>32</v>
      </c>
      <c r="AW41" s="234">
        <f>COUNTIF( AV$7:AV41, AV41 )</f>
        <v>12</v>
      </c>
      <c r="AX41" s="287">
        <f t="shared" si="22"/>
        <v>33.200000000000003</v>
      </c>
      <c r="AY41" s="234">
        <f t="shared" si="23"/>
        <v>43</v>
      </c>
      <c r="AZ41" s="236"/>
      <c r="BA41" s="236"/>
      <c r="BC41" s="234">
        <f t="shared" ca="1" si="24"/>
        <v>35</v>
      </c>
      <c r="BD41" s="288">
        <f t="shared" ca="1" si="6"/>
        <v>17</v>
      </c>
      <c r="BF41" s="240" t="str">
        <f t="shared" ca="1" si="25"/>
        <v>El Paso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EE</v>
      </c>
    </row>
    <row r="42" spans="1:61" ht="13.8" x14ac:dyDescent="0.25">
      <c r="A42" s="303" t="s">
        <v>35</v>
      </c>
      <c r="B42" s="304" t="s">
        <v>28</v>
      </c>
      <c r="C42" s="304">
        <v>18</v>
      </c>
      <c r="D42" s="304" t="s">
        <v>292</v>
      </c>
      <c r="E42" s="305" t="str">
        <f t="shared" ca="1" si="8"/>
        <v>R</v>
      </c>
      <c r="F42" s="306"/>
      <c r="G42" s="307">
        <f t="shared" ca="1" si="1"/>
        <v>22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41</v>
      </c>
      <c r="AR42" s="286" t="s">
        <v>10</v>
      </c>
      <c r="AS42" s="286">
        <v>20</v>
      </c>
      <c r="AT42" s="286" t="s">
        <v>321</v>
      </c>
      <c r="AV42" s="234">
        <f t="shared" si="21"/>
        <v>3</v>
      </c>
      <c r="AW42" s="234">
        <f>COUNTIF( AV$7:AV42, AV42 )</f>
        <v>8</v>
      </c>
      <c r="AX42" s="287">
        <f t="shared" si="22"/>
        <v>3.8</v>
      </c>
      <c r="AY42" s="234">
        <f t="shared" si="23"/>
        <v>10</v>
      </c>
      <c r="AZ42" s="236"/>
      <c r="BA42" s="236"/>
      <c r="BC42" s="234">
        <f t="shared" ca="1" si="24"/>
        <v>36</v>
      </c>
      <c r="BD42" s="288">
        <f t="shared" ca="1" si="6"/>
        <v>18</v>
      </c>
      <c r="BF42" s="240" t="str">
        <f t="shared" ca="1" si="25"/>
        <v>Empire District Electric Company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EDE</v>
      </c>
    </row>
    <row r="43" spans="1:61" ht="13.8" x14ac:dyDescent="0.25">
      <c r="A43" s="303" t="s">
        <v>36</v>
      </c>
      <c r="B43" s="304" t="s">
        <v>28</v>
      </c>
      <c r="C43" s="304">
        <v>18</v>
      </c>
      <c r="D43" s="304" t="s">
        <v>296</v>
      </c>
      <c r="E43" s="305" t="str">
        <f t="shared" ca="1" si="8"/>
        <v>R</v>
      </c>
      <c r="F43" s="306"/>
      <c r="G43" s="307">
        <f t="shared" ca="1" si="1"/>
        <v>23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42</v>
      </c>
      <c r="AR43" s="286" t="s">
        <v>28</v>
      </c>
      <c r="AS43" s="286">
        <v>18</v>
      </c>
      <c r="AT43" s="286" t="s">
        <v>320</v>
      </c>
      <c r="AV43" s="234">
        <f t="shared" si="21"/>
        <v>32</v>
      </c>
      <c r="AW43" s="234">
        <f>COUNTIF( AV$7:AV43, AV43 )</f>
        <v>13</v>
      </c>
      <c r="AX43" s="287">
        <f t="shared" si="22"/>
        <v>33.299999999999997</v>
      </c>
      <c r="AY43" s="234">
        <f t="shared" si="23"/>
        <v>44</v>
      </c>
      <c r="AZ43" s="236"/>
      <c r="BA43" s="236"/>
      <c r="BC43" s="234">
        <f t="shared" ca="1" si="24"/>
        <v>37</v>
      </c>
      <c r="BD43" s="288">
        <f t="shared" ca="1" si="6"/>
        <v>19</v>
      </c>
      <c r="BF43" s="240" t="str">
        <f t="shared" ca="1" si="25"/>
        <v>Entergy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ETR</v>
      </c>
    </row>
    <row r="44" spans="1:61" ht="13.8" x14ac:dyDescent="0.25">
      <c r="A44" s="303" t="s">
        <v>11</v>
      </c>
      <c r="B44" s="304" t="s">
        <v>28</v>
      </c>
      <c r="C44" s="304">
        <v>18</v>
      </c>
      <c r="D44" s="304" t="s">
        <v>297</v>
      </c>
      <c r="E44" s="305" t="str">
        <f t="shared" ca="1" si="8"/>
        <v>MR</v>
      </c>
      <c r="F44" s="306"/>
      <c r="G44" s="307">
        <f t="shared" ca="1" si="1"/>
        <v>24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24</v>
      </c>
      <c r="AR44" s="286" t="s">
        <v>28</v>
      </c>
      <c r="AS44" s="286">
        <v>18</v>
      </c>
      <c r="AT44" s="286" t="s">
        <v>323</v>
      </c>
      <c r="AV44" s="234">
        <f t="shared" si="21"/>
        <v>32</v>
      </c>
      <c r="AW44" s="234">
        <f>COUNTIF( AV$7:AV44, AV44 )</f>
        <v>14</v>
      </c>
      <c r="AX44" s="287">
        <f t="shared" si="22"/>
        <v>33.4</v>
      </c>
      <c r="AY44" s="234">
        <f t="shared" si="23"/>
        <v>45</v>
      </c>
      <c r="AZ44" s="236"/>
      <c r="BA44" s="236"/>
      <c r="BC44" s="234">
        <f t="shared" ca="1" si="24"/>
        <v>38</v>
      </c>
      <c r="BD44" s="288">
        <f t="shared" ca="1" si="6"/>
        <v>21</v>
      </c>
      <c r="BF44" s="240" t="str">
        <f t="shared" ca="1" si="25"/>
        <v>Exelon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EXC</v>
      </c>
    </row>
    <row r="45" spans="1:61" ht="13.8" x14ac:dyDescent="0.25">
      <c r="A45" s="303" t="s">
        <v>451</v>
      </c>
      <c r="B45" s="304" t="s">
        <v>28</v>
      </c>
      <c r="C45" s="304">
        <v>18</v>
      </c>
      <c r="D45" s="304" t="s">
        <v>443</v>
      </c>
      <c r="E45" s="305" t="str">
        <f t="shared" ca="1" si="8"/>
        <v>R</v>
      </c>
      <c r="F45" s="306"/>
      <c r="G45" s="307">
        <f t="shared" ca="1" si="1"/>
        <v>57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43</v>
      </c>
      <c r="AR45" s="286" t="s">
        <v>10</v>
      </c>
      <c r="AS45" s="286">
        <v>20</v>
      </c>
      <c r="AT45" s="286" t="s">
        <v>324</v>
      </c>
      <c r="AV45" s="234">
        <f t="shared" si="21"/>
        <v>3</v>
      </c>
      <c r="AW45" s="234">
        <f>COUNTIF( AV$7:AV45, AV45 )</f>
        <v>9</v>
      </c>
      <c r="AX45" s="287">
        <f t="shared" si="22"/>
        <v>3.9</v>
      </c>
      <c r="AY45" s="234">
        <f t="shared" si="23"/>
        <v>11</v>
      </c>
      <c r="AZ45" s="236"/>
      <c r="BA45" s="236"/>
      <c r="BC45" s="234">
        <f t="shared" ca="1" si="24"/>
        <v>39</v>
      </c>
      <c r="BD45" s="288">
        <f t="shared" ca="1" si="6"/>
        <v>25</v>
      </c>
      <c r="BF45" s="240" t="str">
        <f t="shared" ca="1" si="25"/>
        <v>Iberdrola USA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**EAST</v>
      </c>
    </row>
    <row r="46" spans="1:61" ht="13.8" x14ac:dyDescent="0.25">
      <c r="A46" s="303" t="s">
        <v>20</v>
      </c>
      <c r="B46" s="304" t="s">
        <v>28</v>
      </c>
      <c r="C46" s="304">
        <v>18</v>
      </c>
      <c r="D46" s="304" t="s">
        <v>302</v>
      </c>
      <c r="E46" s="305" t="str">
        <f t="shared" ca="1" si="8"/>
        <v>R</v>
      </c>
      <c r="F46" s="306"/>
      <c r="G46" s="307">
        <f t="shared" ca="1" si="1"/>
        <v>28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45</v>
      </c>
      <c r="AR46" s="286" t="s">
        <v>16</v>
      </c>
      <c r="AS46" s="286">
        <v>19</v>
      </c>
      <c r="AT46" s="286" t="s">
        <v>318</v>
      </c>
      <c r="AV46" s="234">
        <f t="shared" si="21"/>
        <v>15</v>
      </c>
      <c r="AW46" s="234">
        <f>COUNTIF( AV$7:AV46, AV46 )</f>
        <v>12</v>
      </c>
      <c r="AX46" s="287">
        <f t="shared" si="22"/>
        <v>16.2</v>
      </c>
      <c r="AY46" s="234">
        <f t="shared" si="23"/>
        <v>26</v>
      </c>
      <c r="AZ46" s="236"/>
      <c r="BA46" s="236"/>
      <c r="BC46" s="234">
        <f t="shared" ca="1" si="24"/>
        <v>40</v>
      </c>
      <c r="BD46" s="288">
        <f t="shared" ca="1" si="6"/>
        <v>26</v>
      </c>
      <c r="BF46" s="240" t="str">
        <f t="shared" ca="1" si="25"/>
        <v>IDACORP,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IDA</v>
      </c>
    </row>
    <row r="47" spans="1:61" ht="13.8" x14ac:dyDescent="0.25">
      <c r="A47" s="303" t="s">
        <v>66</v>
      </c>
      <c r="B47" s="304" t="s">
        <v>28</v>
      </c>
      <c r="C47" s="304">
        <v>18</v>
      </c>
      <c r="D47" s="304" t="s">
        <v>314</v>
      </c>
      <c r="E47" s="305" t="str">
        <f t="shared" ca="1" si="8"/>
        <v>R</v>
      </c>
      <c r="F47" s="306"/>
      <c r="G47" s="307">
        <f t="shared" ca="1" si="1"/>
        <v>35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54</v>
      </c>
      <c r="AR47" s="286" t="s">
        <v>49</v>
      </c>
      <c r="AS47" s="286">
        <v>17</v>
      </c>
      <c r="AT47" s="286" t="s">
        <v>448</v>
      </c>
      <c r="AV47" s="234">
        <f t="shared" si="21"/>
        <v>47</v>
      </c>
      <c r="AW47" s="234">
        <f>COUNTIF( AV$7:AV47, AV47 )</f>
        <v>3</v>
      </c>
      <c r="AX47" s="287">
        <f t="shared" si="22"/>
        <v>47.3</v>
      </c>
      <c r="AY47" s="234">
        <f t="shared" si="23"/>
        <v>49</v>
      </c>
      <c r="AZ47" s="236"/>
      <c r="BA47" s="236"/>
      <c r="BC47" s="234">
        <f t="shared" ca="1" si="24"/>
        <v>41</v>
      </c>
      <c r="BD47" s="288">
        <f t="shared" ca="1" si="6"/>
        <v>31</v>
      </c>
      <c r="BF47" s="240" t="str">
        <f t="shared" ca="1" si="25"/>
        <v>NorthWestern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NWE</v>
      </c>
    </row>
    <row r="48" spans="1:61" ht="13.8" x14ac:dyDescent="0.25">
      <c r="A48" s="303" t="s">
        <v>22</v>
      </c>
      <c r="B48" s="304" t="s">
        <v>28</v>
      </c>
      <c r="C48" s="304">
        <v>18</v>
      </c>
      <c r="D48" s="304" t="s">
        <v>316</v>
      </c>
      <c r="E48" s="305" t="str">
        <f t="shared" ca="1" si="8"/>
        <v>R</v>
      </c>
      <c r="F48" s="306"/>
      <c r="G48" s="307">
        <f t="shared" ca="1" si="1"/>
        <v>37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13</v>
      </c>
      <c r="AR48" s="286" t="s">
        <v>16</v>
      </c>
      <c r="AS48" s="286">
        <v>19</v>
      </c>
      <c r="AT48" s="286" t="s">
        <v>326</v>
      </c>
      <c r="AV48" s="234">
        <f t="shared" si="21"/>
        <v>15</v>
      </c>
      <c r="AW48" s="234">
        <f>COUNTIF( AV$7:AV48, AV48 )</f>
        <v>13</v>
      </c>
      <c r="AX48" s="287">
        <f t="shared" si="22"/>
        <v>16.3</v>
      </c>
      <c r="AY48" s="234">
        <f t="shared" si="23"/>
        <v>27</v>
      </c>
      <c r="AZ48" s="236"/>
      <c r="BA48" s="236"/>
      <c r="BC48" s="234">
        <f t="shared" ca="1" si="24"/>
        <v>42</v>
      </c>
      <c r="BD48" s="288">
        <f t="shared" ca="1" si="6"/>
        <v>33</v>
      </c>
      <c r="BF48" s="240" t="str">
        <f t="shared" ca="1" si="25"/>
        <v>Otter Tail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OTTR</v>
      </c>
    </row>
    <row r="49" spans="1:61" ht="13.8" x14ac:dyDescent="0.25">
      <c r="A49" s="303" t="s">
        <v>53</v>
      </c>
      <c r="B49" s="304" t="s">
        <v>28</v>
      </c>
      <c r="C49" s="304">
        <v>18</v>
      </c>
      <c r="D49" s="304" t="s">
        <v>317</v>
      </c>
      <c r="E49" s="305" t="str">
        <f t="shared" ca="1" si="8"/>
        <v>R</v>
      </c>
      <c r="F49" s="306"/>
      <c r="G49" s="307">
        <f t="shared" ca="1" si="1"/>
        <v>39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25</v>
      </c>
      <c r="AR49" s="286" t="s">
        <v>16</v>
      </c>
      <c r="AS49" s="286">
        <v>19</v>
      </c>
      <c r="AT49" s="286" t="s">
        <v>328</v>
      </c>
      <c r="AV49" s="234">
        <f t="shared" si="21"/>
        <v>15</v>
      </c>
      <c r="AW49" s="234">
        <f>COUNTIF( AV$7:AV49, AV49 )</f>
        <v>14</v>
      </c>
      <c r="AX49" s="287">
        <f t="shared" si="22"/>
        <v>16.399999999999999</v>
      </c>
      <c r="AY49" s="234">
        <f t="shared" si="23"/>
        <v>28</v>
      </c>
      <c r="AZ49" s="236"/>
      <c r="BA49" s="236"/>
      <c r="BC49" s="234">
        <f t="shared" ca="1" si="24"/>
        <v>43</v>
      </c>
      <c r="BD49" s="288">
        <f t="shared" ca="1" si="6"/>
        <v>35</v>
      </c>
      <c r="BF49" s="240" t="str">
        <f t="shared" ca="1" si="25"/>
        <v>PG&amp;E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PCG</v>
      </c>
    </row>
    <row r="50" spans="1:61" ht="13.8" x14ac:dyDescent="0.25">
      <c r="A50" s="303" t="s">
        <v>42</v>
      </c>
      <c r="B50" s="304" t="s">
        <v>28</v>
      </c>
      <c r="C50" s="304">
        <v>18</v>
      </c>
      <c r="D50" s="304" t="s">
        <v>320</v>
      </c>
      <c r="E50" s="305" t="str">
        <f t="shared" ca="1" si="8"/>
        <v>R</v>
      </c>
      <c r="F50" s="306"/>
      <c r="G50" s="307">
        <f t="shared" ca="1" si="1"/>
        <v>41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7</v>
      </c>
      <c r="AR50" s="286" t="s">
        <v>2</v>
      </c>
      <c r="AS50" s="286">
        <v>21</v>
      </c>
      <c r="AT50" s="286" t="s">
        <v>327</v>
      </c>
      <c r="AV50" s="234">
        <f t="shared" si="21"/>
        <v>1</v>
      </c>
      <c r="AW50" s="234">
        <f>COUNTIF( AV$7:AV50, AV50 )</f>
        <v>2</v>
      </c>
      <c r="AX50" s="287">
        <f t="shared" si="22"/>
        <v>1.2</v>
      </c>
      <c r="AY50" s="234">
        <f t="shared" si="23"/>
        <v>2</v>
      </c>
      <c r="AZ50" s="236"/>
      <c r="BA50" s="236"/>
      <c r="BC50" s="234">
        <f t="shared" ca="1" si="24"/>
        <v>44</v>
      </c>
      <c r="BD50" s="288">
        <f t="shared" ca="1" si="6"/>
        <v>37</v>
      </c>
      <c r="BF50" s="240" t="str">
        <f t="shared" ca="1" si="25"/>
        <v>PNM Resources,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PNM</v>
      </c>
    </row>
    <row r="51" spans="1:61" ht="13.8" x14ac:dyDescent="0.25">
      <c r="A51" s="303" t="s">
        <v>24</v>
      </c>
      <c r="B51" s="304" t="s">
        <v>28</v>
      </c>
      <c r="C51" s="304">
        <v>18</v>
      </c>
      <c r="D51" s="304" t="s">
        <v>323</v>
      </c>
      <c r="E51" s="305" t="str">
        <f t="shared" ca="1" si="8"/>
        <v>R</v>
      </c>
      <c r="F51" s="306"/>
      <c r="G51" s="307">
        <f t="shared" ca="1" si="1"/>
        <v>42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62</v>
      </c>
      <c r="AR51" s="286" t="s">
        <v>16</v>
      </c>
      <c r="AS51" s="286">
        <v>19</v>
      </c>
      <c r="AT51" s="286" t="s">
        <v>329</v>
      </c>
      <c r="AV51" s="234">
        <f t="shared" si="21"/>
        <v>15</v>
      </c>
      <c r="AW51" s="234">
        <f>COUNTIF( AV$7:AV51, AV51 )</f>
        <v>15</v>
      </c>
      <c r="AX51" s="287">
        <f t="shared" si="22"/>
        <v>16.5</v>
      </c>
      <c r="AY51" s="234">
        <f t="shared" si="23"/>
        <v>29</v>
      </c>
      <c r="AZ51" s="236"/>
      <c r="BA51" s="236"/>
      <c r="BC51" s="234">
        <f t="shared" ca="1" si="24"/>
        <v>45</v>
      </c>
      <c r="BD51" s="288">
        <f t="shared" ca="1" si="6"/>
        <v>38</v>
      </c>
      <c r="BF51" s="240" t="str">
        <f t="shared" ca="1" si="25"/>
        <v>Portland General Electric Company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POR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75</v>
      </c>
      <c r="AR52" s="286" t="s">
        <v>28</v>
      </c>
      <c r="AS52" s="286">
        <v>18</v>
      </c>
      <c r="AT52" s="286" t="s">
        <v>331</v>
      </c>
      <c r="AV52" s="234">
        <f t="shared" si="21"/>
        <v>32</v>
      </c>
      <c r="AW52" s="234">
        <f>COUNTIF( AV$7:AV52, AV52 )</f>
        <v>15</v>
      </c>
      <c r="AX52" s="287">
        <f t="shared" si="22"/>
        <v>33.5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76</v>
      </c>
      <c r="AR53" s="286" t="s">
        <v>16</v>
      </c>
      <c r="AS53" s="286">
        <v>19</v>
      </c>
      <c r="AT53" s="286" t="s">
        <v>447</v>
      </c>
      <c r="AV53" s="234">
        <f t="shared" si="21"/>
        <v>15</v>
      </c>
      <c r="AW53" s="234">
        <f>COUNTIF( AV$7:AV53, AV53 )</f>
        <v>16</v>
      </c>
      <c r="AX53" s="287">
        <f t="shared" si="22"/>
        <v>16.600000000000001</v>
      </c>
      <c r="AY53" s="234">
        <f t="shared" si="23"/>
        <v>30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3</v>
      </c>
      <c r="AW54" s="234">
        <f>COUNTIF( AV$7:AV54, AV54 )</f>
        <v>10</v>
      </c>
      <c r="AX54" s="287">
        <f t="shared" si="22"/>
        <v>4</v>
      </c>
      <c r="AY54" s="234">
        <f t="shared" si="23"/>
        <v>12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15</v>
      </c>
      <c r="AW55" s="234">
        <f>COUNTIF( AV$7:AV55, AV55 )</f>
        <v>17</v>
      </c>
      <c r="AX55" s="287">
        <f t="shared" si="22"/>
        <v>16.7</v>
      </c>
      <c r="AY55" s="234">
        <f t="shared" si="23"/>
        <v>31</v>
      </c>
      <c r="AZ55" s="236"/>
      <c r="BA55" s="236"/>
      <c r="BC55" s="234">
        <f t="shared" ca="1" si="24"/>
        <v>49</v>
      </c>
      <c r="BD55" s="288">
        <f t="shared" ca="1" si="6"/>
        <v>41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3</v>
      </c>
      <c r="AW56" s="234">
        <f>COUNTIF( AV$7:AV56, AV56 )</f>
        <v>11</v>
      </c>
      <c r="AX56" s="287">
        <f t="shared" si="22"/>
        <v>4.0999999999999996</v>
      </c>
      <c r="AY56" s="234">
        <f t="shared" si="23"/>
        <v>13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3</v>
      </c>
      <c r="AW57" s="234">
        <f>COUNTIF( AV$7:AV57, AV57 )</f>
        <v>12</v>
      </c>
      <c r="AX57" s="287">
        <f t="shared" si="22"/>
        <v>4.2</v>
      </c>
      <c r="AY57" s="234">
        <f t="shared" si="23"/>
        <v>14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18.846153846153847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18.826923076923077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-- 2015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'Credit_2014Q4'!d:d</v>
      </c>
      <c r="AK2" s="240" t="str">
        <f>AK4 &amp; AK3</f>
        <v>'Credit_2014Q4'!b1</v>
      </c>
      <c r="AL2" s="240" t="str">
        <f>AL4 &amp; AL3</f>
        <v>'Credit_2014Q4'!c1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'Credit_2014Q4'!</v>
      </c>
      <c r="AK4" s="236" t="str">
        <f t="shared" ref="AK4:AL4" si="0">$AQ$5</f>
        <v>'Credit_2014Q4'!</v>
      </c>
      <c r="AL4" s="236" t="str">
        <f t="shared" si="0"/>
        <v>'Credit_2014Q4'!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(53)</v>
      </c>
      <c r="M5" s="505"/>
      <c r="N5" s="314"/>
      <c r="O5" s="503" t="str">
        <f ca="1">"Regulated" &amp; CHAR( 10 ) &amp; "(" &amp; O14 &amp; ")"</f>
        <v>Regulated
(38)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510</v>
      </c>
    </row>
    <row r="6" spans="1:61" ht="28.5" customHeight="1" x14ac:dyDescent="0.25">
      <c r="A6" s="299" t="s">
        <v>0</v>
      </c>
      <c r="B6" s="300" t="s">
        <v>513</v>
      </c>
      <c r="C6" s="338" t="s">
        <v>470</v>
      </c>
      <c r="D6" s="301"/>
      <c r="E6" s="302">
        <f ca="1">INDIRECT( E3 &amp; G1 )</f>
        <v>41639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7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18.754716981132077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18.657894736842106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19.153846153846153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6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9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9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*UTL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9" t="s">
        <v>447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62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'Credit_2014Q3'!d:d</v>
      </c>
      <c r="AK2" s="240" t="str">
        <f>AK4 &amp; AK3</f>
        <v>'Credit_2014Q3'!b1</v>
      </c>
      <c r="AL2" s="240" t="str">
        <f>AL4 &amp; AL3</f>
        <v>'Credit_2014Q3'!c1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'Credit_2014Q3'!</v>
      </c>
      <c r="AK4" s="236" t="str">
        <f t="shared" ref="AK4:AL4" si="0">$AQ$5</f>
        <v>'Credit_2014Q3'!</v>
      </c>
      <c r="AL4" s="236" t="str">
        <f t="shared" si="0"/>
        <v>'Credit_2014Q3'!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(53)</v>
      </c>
      <c r="M5" s="505"/>
      <c r="N5" s="314"/>
      <c r="O5" s="503" t="str">
        <f ca="1">"Regulated" &amp; CHAR( 10 ) &amp; "(" &amp; O14 &amp; ")"</f>
        <v>Regulated
(38)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508</v>
      </c>
    </row>
    <row r="6" spans="1:61" ht="28.5" customHeight="1" x14ac:dyDescent="0.25">
      <c r="A6" s="299" t="s">
        <v>0</v>
      </c>
      <c r="B6" s="300" t="s">
        <v>503</v>
      </c>
      <c r="C6" s="338" t="s">
        <v>470</v>
      </c>
      <c r="D6" s="301"/>
      <c r="E6" s="302">
        <f ca="1">INDIRECT( E3 &amp; G1 )</f>
        <v>41639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2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17</v>
      </c>
      <c r="M10" s="296">
        <f t="shared" si="10"/>
        <v>0.32075471698113206</v>
      </c>
      <c r="N10" s="318"/>
      <c r="O10" s="295">
        <f t="shared" ca="1" si="11"/>
        <v>12</v>
      </c>
      <c r="P10" s="296">
        <f t="shared" ca="1" si="12"/>
        <v>0.31578947368421051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17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31</v>
      </c>
      <c r="AW10" s="234">
        <f>COUNTIF( AV$7:AV10, AV10 )</f>
        <v>1</v>
      </c>
      <c r="AX10" s="287">
        <f t="shared" si="22"/>
        <v>31.1</v>
      </c>
      <c r="AY10" s="234">
        <f t="shared" si="23"/>
        <v>31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16</v>
      </c>
      <c r="M11" s="296">
        <f t="shared" si="10"/>
        <v>0.30188679245283018</v>
      </c>
      <c r="N11" s="318"/>
      <c r="O11" s="295">
        <f t="shared" ca="1" si="11"/>
        <v>14</v>
      </c>
      <c r="P11" s="296">
        <f t="shared" ca="1" si="12"/>
        <v>0.36842105263157893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31</v>
      </c>
      <c r="AW11" s="234">
        <f>COUNTIF( AV$7:AV11, AV11 )</f>
        <v>2</v>
      </c>
      <c r="AX11" s="287">
        <f t="shared" si="22"/>
        <v>31.2</v>
      </c>
      <c r="AY11" s="234">
        <f t="shared" si="23"/>
        <v>32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8"/>
        <v>R</v>
      </c>
      <c r="F12" s="306"/>
      <c r="G12" s="307">
        <f t="shared" ca="1" si="1"/>
        <v>34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Eversource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ES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8"/>
        <v>R</v>
      </c>
      <c r="F13" s="306"/>
      <c r="G13" s="307">
        <f t="shared" ca="1" si="1"/>
        <v>29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31</v>
      </c>
      <c r="AW13" s="234">
        <f>COUNTIF( AV$7:AV13, AV13 )</f>
        <v>3</v>
      </c>
      <c r="AX13" s="287">
        <f t="shared" si="22"/>
        <v>31.3</v>
      </c>
      <c r="AY13" s="234">
        <f t="shared" si="23"/>
        <v>33</v>
      </c>
      <c r="AZ13" s="236"/>
      <c r="BA13" s="236"/>
      <c r="BC13" s="234">
        <f t="shared" ca="1" si="24"/>
        <v>7</v>
      </c>
      <c r="BD13" s="288">
        <f t="shared" ca="1" si="6"/>
        <v>27</v>
      </c>
      <c r="BF13" s="240" t="str">
        <f t="shared" ca="1" si="7"/>
        <v>Integrys Energy Group,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32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18.735849056603772</v>
      </c>
      <c r="Z14" s="261"/>
      <c r="AA14" s="436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30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18.754716981132077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18.657894736842106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19.153846153846153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16</v>
      </c>
      <c r="AS16" s="286">
        <v>19</v>
      </c>
      <c r="AT16" s="286" t="s">
        <v>283</v>
      </c>
      <c r="AV16" s="234">
        <f t="shared" si="21"/>
        <v>14</v>
      </c>
      <c r="AW16" s="234">
        <f>COUNTIF( AV$7:AV16, AV16 )</f>
        <v>5</v>
      </c>
      <c r="AX16" s="287">
        <f t="shared" si="22"/>
        <v>14.5</v>
      </c>
      <c r="AY16" s="234">
        <f t="shared" si="23"/>
        <v>18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49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51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52</v>
      </c>
      <c r="AW19" s="234">
        <f>COUNTIF( AV$7:AV19, AV19 )</f>
        <v>1</v>
      </c>
      <c r="AX19" s="287">
        <f t="shared" si="22"/>
        <v>52.1</v>
      </c>
      <c r="AY19" s="234">
        <f t="shared" si="23"/>
        <v>52</v>
      </c>
      <c r="AZ19" s="236"/>
      <c r="BA19" s="236"/>
      <c r="BC19" s="234">
        <f t="shared" ca="1" si="24"/>
        <v>13</v>
      </c>
      <c r="BD19" s="288">
        <f t="shared" ca="1" si="6"/>
        <v>52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6</v>
      </c>
      <c r="AX20" s="287">
        <f t="shared" si="22"/>
        <v>14.6</v>
      </c>
      <c r="AY20" s="234">
        <f t="shared" si="23"/>
        <v>19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7</v>
      </c>
      <c r="AX21" s="287">
        <f t="shared" si="22"/>
        <v>14.7</v>
      </c>
      <c r="AY21" s="234">
        <f t="shared" si="23"/>
        <v>20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9" t="s">
        <v>295</v>
      </c>
      <c r="AV22" s="234">
        <f t="shared" si="21"/>
        <v>14</v>
      </c>
      <c r="AW22" s="234">
        <f>COUNTIF( AV$7:AV22, AV22 )</f>
        <v>8</v>
      </c>
      <c r="AX22" s="287">
        <f t="shared" si="22"/>
        <v>14.8</v>
      </c>
      <c r="AY22" s="234">
        <f t="shared" si="23"/>
        <v>21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31</v>
      </c>
      <c r="AW23" s="234">
        <f>COUNTIF( AV$7:AV23, AV23 )</f>
        <v>4</v>
      </c>
      <c r="AX23" s="287">
        <f t="shared" si="22"/>
        <v>31.4</v>
      </c>
      <c r="AY23" s="234">
        <f t="shared" si="23"/>
        <v>34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60</v>
      </c>
      <c r="B24" s="304" t="s">
        <v>16</v>
      </c>
      <c r="C24" s="304">
        <v>19</v>
      </c>
      <c r="D24" s="304" t="s">
        <v>283</v>
      </c>
      <c r="E24" s="305" t="str">
        <f t="shared" ca="1" si="8"/>
        <v>R</v>
      </c>
      <c r="F24" s="306"/>
      <c r="G24" s="307">
        <f t="shared" ca="1" si="1"/>
        <v>15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>
        <f t="shared" ca="1" si="3"/>
        <v>1</v>
      </c>
      <c r="AH24" s="236" t="str">
        <f t="shared" ca="1" si="18"/>
        <v/>
      </c>
      <c r="AJ24" s="236">
        <f t="shared" ca="1" si="19"/>
        <v>38</v>
      </c>
      <c r="AK24" s="236" t="str">
        <f t="shared" ca="1" si="20"/>
        <v>BBB</v>
      </c>
      <c r="AL24" s="236">
        <f t="shared" ca="1" si="20"/>
        <v>18</v>
      </c>
      <c r="AM24" s="236" t="str">
        <f t="shared" ca="1" si="4"/>
        <v>Change</v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31</v>
      </c>
      <c r="AW24" s="234">
        <f>COUNTIF( AV$7:AV24, AV24 )</f>
        <v>5</v>
      </c>
      <c r="AX24" s="287">
        <f t="shared" si="22"/>
        <v>31.5</v>
      </c>
      <c r="AY24" s="234">
        <f t="shared" si="23"/>
        <v>35</v>
      </c>
      <c r="AZ24" s="236"/>
      <c r="BA24" s="236"/>
      <c r="BC24" s="234">
        <f t="shared" ca="1" si="24"/>
        <v>18</v>
      </c>
      <c r="BD24" s="288">
        <f t="shared" ca="1" si="6"/>
        <v>10</v>
      </c>
      <c r="BF24" s="240" t="str">
        <f t="shared" ca="1" si="7"/>
        <v>CMS Energy Corporation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CMS</v>
      </c>
    </row>
    <row r="25" spans="1:61" ht="13.8" x14ac:dyDescent="0.25">
      <c r="A25" s="303" t="s">
        <v>31</v>
      </c>
      <c r="B25" s="304" t="s">
        <v>16</v>
      </c>
      <c r="C25" s="304">
        <v>19</v>
      </c>
      <c r="D25" s="304" t="s">
        <v>288</v>
      </c>
      <c r="E25" s="305" t="str">
        <f t="shared" ca="1" si="8"/>
        <v>R</v>
      </c>
      <c r="F25" s="306"/>
      <c r="G25" s="307">
        <f t="shared" ca="1" si="1"/>
        <v>18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31</v>
      </c>
      <c r="AW25" s="234">
        <f>COUNTIF( AV$7:AV25, AV25 )</f>
        <v>6</v>
      </c>
      <c r="AX25" s="287">
        <f t="shared" si="22"/>
        <v>31.6</v>
      </c>
      <c r="AY25" s="234">
        <f t="shared" si="23"/>
        <v>36</v>
      </c>
      <c r="AZ25" s="236"/>
      <c r="BA25" s="236"/>
      <c r="BC25" s="234">
        <f t="shared" ca="1" si="24"/>
        <v>19</v>
      </c>
      <c r="BD25" s="288">
        <f t="shared" ca="1" si="6"/>
        <v>14</v>
      </c>
      <c r="BF25" s="240" t="str">
        <f t="shared" ca="1" si="7"/>
        <v>DTE Energy Company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DTE</v>
      </c>
    </row>
    <row r="26" spans="1:61" ht="13.8" x14ac:dyDescent="0.25">
      <c r="A26" s="303" t="s">
        <v>32</v>
      </c>
      <c r="B26" s="304" t="s">
        <v>16</v>
      </c>
      <c r="C26" s="304">
        <v>19</v>
      </c>
      <c r="D26" s="304" t="s">
        <v>289</v>
      </c>
      <c r="E26" s="305" t="str">
        <f t="shared" ca="1" si="8"/>
        <v>R</v>
      </c>
      <c r="F26" s="306"/>
      <c r="G26" s="307">
        <f t="shared" ca="1" si="1"/>
        <v>19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25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512</v>
      </c>
      <c r="AR26" s="286" t="s">
        <v>10</v>
      </c>
      <c r="AS26" s="286">
        <v>20</v>
      </c>
      <c r="AT26" s="286" t="s">
        <v>511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15</v>
      </c>
      <c r="BF26" s="240" t="str">
        <f t="shared" ca="1" si="7"/>
        <v>Duke Energy Corporation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DUK</v>
      </c>
    </row>
    <row r="27" spans="1:61" ht="13.8" x14ac:dyDescent="0.25">
      <c r="A27" s="303" t="s">
        <v>57</v>
      </c>
      <c r="B27" s="304" t="s">
        <v>16</v>
      </c>
      <c r="C27" s="304">
        <v>19</v>
      </c>
      <c r="D27" s="304" t="s">
        <v>295</v>
      </c>
      <c r="E27" s="305" t="str">
        <f t="shared" ca="1" si="8"/>
        <v>R</v>
      </c>
      <c r="F27" s="306"/>
      <c r="G27" s="307">
        <f t="shared" ca="1" si="1"/>
        <v>20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11</v>
      </c>
      <c r="AR27" s="286" t="s">
        <v>28</v>
      </c>
      <c r="AS27" s="286">
        <v>18</v>
      </c>
      <c r="AT27" s="286" t="s">
        <v>297</v>
      </c>
      <c r="AV27" s="234">
        <f t="shared" si="21"/>
        <v>31</v>
      </c>
      <c r="AW27" s="234">
        <f>COUNTIF( AV$7:AV27, AV27 )</f>
        <v>7</v>
      </c>
      <c r="AX27" s="287">
        <f t="shared" si="22"/>
        <v>31.7</v>
      </c>
      <c r="AY27" s="234">
        <f t="shared" si="23"/>
        <v>37</v>
      </c>
      <c r="AZ27" s="236"/>
      <c r="BA27" s="236"/>
      <c r="BC27" s="234">
        <f t="shared" ca="1" si="24"/>
        <v>21</v>
      </c>
      <c r="BD27" s="288">
        <f t="shared" ca="1" si="6"/>
        <v>16</v>
      </c>
      <c r="BF27" s="240" t="str">
        <f t="shared" ca="1" si="7"/>
        <v>Edison International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EIX</v>
      </c>
    </row>
    <row r="28" spans="1:61" ht="13.8" x14ac:dyDescent="0.25">
      <c r="A28" s="303" t="s">
        <v>260</v>
      </c>
      <c r="B28" s="304" t="s">
        <v>16</v>
      </c>
      <c r="C28" s="304">
        <v>19</v>
      </c>
      <c r="D28" s="304" t="s">
        <v>300</v>
      </c>
      <c r="E28" s="305" t="str">
        <f t="shared" ca="1" si="8"/>
        <v>R</v>
      </c>
      <c r="F28" s="306"/>
      <c r="G28" s="307">
        <f t="shared" ca="1" si="1"/>
        <v>26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51</v>
      </c>
      <c r="AR28" s="286" t="s">
        <v>49</v>
      </c>
      <c r="AS28" s="286">
        <v>17</v>
      </c>
      <c r="AT28" s="286" t="s">
        <v>298</v>
      </c>
      <c r="AV28" s="234">
        <f t="shared" si="21"/>
        <v>47</v>
      </c>
      <c r="AW28" s="234">
        <f>COUNTIF( AV$7:AV28, AV28 )</f>
        <v>1</v>
      </c>
      <c r="AX28" s="287">
        <f t="shared" si="22"/>
        <v>47.1</v>
      </c>
      <c r="AY28" s="234">
        <f t="shared" si="23"/>
        <v>47</v>
      </c>
      <c r="AZ28" s="236"/>
      <c r="BA28" s="236"/>
      <c r="BC28" s="234">
        <f t="shared" ca="1" si="24"/>
        <v>22</v>
      </c>
      <c r="BD28" s="288">
        <f t="shared" ca="1" si="6"/>
        <v>23</v>
      </c>
      <c r="BF28" s="240" t="str">
        <f t="shared" ca="1" si="7"/>
        <v>Great Plains Energy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GXP</v>
      </c>
    </row>
    <row r="29" spans="1:61" ht="13.8" x14ac:dyDescent="0.25">
      <c r="A29" s="303" t="s">
        <v>12</v>
      </c>
      <c r="B29" s="304" t="s">
        <v>16</v>
      </c>
      <c r="C29" s="304">
        <v>19</v>
      </c>
      <c r="D29" s="304" t="s">
        <v>308</v>
      </c>
      <c r="E29" s="305" t="str">
        <f t="shared" ca="1" si="8"/>
        <v>D</v>
      </c>
      <c r="F29" s="306"/>
      <c r="G29" s="307">
        <f t="shared" ca="1" si="1"/>
        <v>30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260</v>
      </c>
      <c r="AR29" s="286" t="s">
        <v>16</v>
      </c>
      <c r="AS29" s="286">
        <v>19</v>
      </c>
      <c r="AT29" s="289" t="s">
        <v>300</v>
      </c>
      <c r="AV29" s="234">
        <f t="shared" si="21"/>
        <v>14</v>
      </c>
      <c r="AW29" s="234">
        <f>COUNTIF( AV$7:AV29, AV29 )</f>
        <v>9</v>
      </c>
      <c r="AX29" s="287">
        <f t="shared" si="22"/>
        <v>14.9</v>
      </c>
      <c r="AY29" s="234">
        <f t="shared" si="23"/>
        <v>22</v>
      </c>
      <c r="AZ29" s="236"/>
      <c r="BA29" s="236"/>
      <c r="BC29" s="234">
        <f t="shared" ca="1" si="24"/>
        <v>23</v>
      </c>
      <c r="BD29" s="288">
        <f t="shared" ca="1" si="6"/>
        <v>29</v>
      </c>
      <c r="BF29" s="240" t="str">
        <f t="shared" ca="1" si="7"/>
        <v>MDU Resources Group,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MDU</v>
      </c>
    </row>
    <row r="30" spans="1:61" ht="13.8" x14ac:dyDescent="0.25">
      <c r="A30" s="303" t="s">
        <v>23</v>
      </c>
      <c r="B30" s="304" t="s">
        <v>16</v>
      </c>
      <c r="C30" s="304">
        <v>19</v>
      </c>
      <c r="D30" s="304" t="s">
        <v>322</v>
      </c>
      <c r="E30" s="305" t="str">
        <f t="shared" ca="1" si="8"/>
        <v>R</v>
      </c>
      <c r="F30" s="306"/>
      <c r="G30" s="307">
        <f t="shared" ca="1" si="1"/>
        <v>38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9" t="s">
        <v>301</v>
      </c>
      <c r="AV30" s="234">
        <f t="shared" si="21"/>
        <v>47</v>
      </c>
      <c r="AW30" s="234">
        <f>COUNTIF( AV$7:AV30, AV30 )</f>
        <v>2</v>
      </c>
      <c r="AX30" s="287">
        <f t="shared" si="22"/>
        <v>47.2</v>
      </c>
      <c r="AY30" s="234">
        <f t="shared" si="23"/>
        <v>48</v>
      </c>
      <c r="AZ30" s="236"/>
      <c r="BA30" s="236"/>
      <c r="BC30" s="234">
        <f t="shared" ca="1" si="24"/>
        <v>24</v>
      </c>
      <c r="BD30" s="288">
        <f t="shared" ca="1" si="6"/>
        <v>35</v>
      </c>
      <c r="BF30" s="240" t="str">
        <f t="shared" ca="1" si="7"/>
        <v>Pepco Holdings,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POM</v>
      </c>
    </row>
    <row r="31" spans="1:61" ht="13.8" x14ac:dyDescent="0.25">
      <c r="A31" s="303" t="s">
        <v>45</v>
      </c>
      <c r="B31" s="304" t="s">
        <v>16</v>
      </c>
      <c r="C31" s="304">
        <v>19</v>
      </c>
      <c r="D31" s="304" t="s">
        <v>318</v>
      </c>
      <c r="E31" s="305" t="str">
        <f t="shared" ca="1" si="8"/>
        <v>MR</v>
      </c>
      <c r="F31" s="306"/>
      <c r="G31" s="307">
        <f t="shared" ca="1" si="1"/>
        <v>44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451</v>
      </c>
      <c r="AR31" s="286" t="s">
        <v>28</v>
      </c>
      <c r="AS31" s="286">
        <v>18</v>
      </c>
      <c r="AT31" s="286" t="s">
        <v>443</v>
      </c>
      <c r="AV31" s="234">
        <f t="shared" si="21"/>
        <v>31</v>
      </c>
      <c r="AW31" s="234">
        <f>COUNTIF( AV$7:AV31, AV31 )</f>
        <v>8</v>
      </c>
      <c r="AX31" s="287">
        <f t="shared" si="22"/>
        <v>31.8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41</v>
      </c>
      <c r="BF31" s="240" t="str">
        <f t="shared" ca="1" si="7"/>
        <v>Public Service Enterprise Group Incorporated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PEG</v>
      </c>
    </row>
    <row r="32" spans="1:61" ht="13.8" x14ac:dyDescent="0.25">
      <c r="A32" s="303" t="s">
        <v>13</v>
      </c>
      <c r="B32" s="304" t="s">
        <v>16</v>
      </c>
      <c r="C32" s="304">
        <v>19</v>
      </c>
      <c r="D32" s="304" t="s">
        <v>326</v>
      </c>
      <c r="E32" s="305" t="str">
        <f t="shared" ca="1" si="8"/>
        <v>MR</v>
      </c>
      <c r="F32" s="306"/>
      <c r="G32" s="307">
        <f t="shared" ca="1" si="1"/>
        <v>45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31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20</v>
      </c>
      <c r="AR32" s="286" t="s">
        <v>28</v>
      </c>
      <c r="AS32" s="286">
        <v>18</v>
      </c>
      <c r="AT32" s="286" t="s">
        <v>302</v>
      </c>
      <c r="AV32" s="234">
        <f t="shared" si="21"/>
        <v>31</v>
      </c>
      <c r="AW32" s="234">
        <f>COUNTIF( AV$7:AV32, AV32 )</f>
        <v>9</v>
      </c>
      <c r="AX32" s="287">
        <f t="shared" si="22"/>
        <v>31.9</v>
      </c>
      <c r="AY32" s="234">
        <f t="shared" si="23"/>
        <v>39</v>
      </c>
      <c r="AZ32" s="236"/>
      <c r="BA32" s="236"/>
      <c r="BC32" s="234">
        <f t="shared" ca="1" si="24"/>
        <v>26</v>
      </c>
      <c r="BD32" s="288">
        <f t="shared" ca="1" si="6"/>
        <v>43</v>
      </c>
      <c r="BF32" s="240" t="str">
        <f t="shared" ca="1" si="7"/>
        <v>SCANA Corporation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SCG</v>
      </c>
    </row>
    <row r="33" spans="1:61" ht="13.8" x14ac:dyDescent="0.25">
      <c r="A33" s="303" t="s">
        <v>25</v>
      </c>
      <c r="B33" s="304" t="s">
        <v>16</v>
      </c>
      <c r="C33" s="304">
        <v>19</v>
      </c>
      <c r="D33" s="304" t="s">
        <v>328</v>
      </c>
      <c r="E33" s="305" t="str">
        <f t="shared" ca="1" si="8"/>
        <v>MR</v>
      </c>
      <c r="F33" s="306"/>
      <c r="G33" s="307">
        <f t="shared" ca="1" si="1"/>
        <v>46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32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253</v>
      </c>
      <c r="AR33" s="286" t="s">
        <v>10</v>
      </c>
      <c r="AS33" s="286">
        <v>20</v>
      </c>
      <c r="AT33" s="286" t="s">
        <v>330</v>
      </c>
      <c r="AV33" s="234">
        <f t="shared" si="21"/>
        <v>2</v>
      </c>
      <c r="AW33" s="234">
        <f>COUNTIF( AV$7:AV33, AV33 )</f>
        <v>6</v>
      </c>
      <c r="AX33" s="287">
        <f t="shared" si="22"/>
        <v>2.6</v>
      </c>
      <c r="AY33" s="234">
        <f t="shared" si="23"/>
        <v>7</v>
      </c>
      <c r="AZ33" s="236"/>
      <c r="BA33" s="236"/>
      <c r="BC33" s="234">
        <f t="shared" ca="1" si="24"/>
        <v>27</v>
      </c>
      <c r="BD33" s="288">
        <f t="shared" ca="1" si="6"/>
        <v>44</v>
      </c>
      <c r="BF33" s="240" t="str">
        <f t="shared" ca="1" si="7"/>
        <v>Sempra Energy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SRE</v>
      </c>
    </row>
    <row r="34" spans="1:61" ht="13.8" x14ac:dyDescent="0.25">
      <c r="A34" s="303" t="s">
        <v>62</v>
      </c>
      <c r="B34" s="304" t="s">
        <v>16</v>
      </c>
      <c r="C34" s="304">
        <v>19</v>
      </c>
      <c r="D34" s="304" t="s">
        <v>329</v>
      </c>
      <c r="E34" s="305" t="str">
        <f t="shared" ca="1" si="8"/>
        <v>R</v>
      </c>
      <c r="F34" s="306"/>
      <c r="G34" s="307">
        <f t="shared" ca="1" si="1"/>
        <v>48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33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58</v>
      </c>
      <c r="AR34" s="286" t="s">
        <v>56</v>
      </c>
      <c r="AS34" s="286">
        <v>16</v>
      </c>
      <c r="AT34" s="286" t="s">
        <v>445</v>
      </c>
      <c r="AV34" s="234">
        <f t="shared" si="21"/>
        <v>51</v>
      </c>
      <c r="AW34" s="234">
        <f>COUNTIF( AV$7:AV34, AV34 )</f>
        <v>1</v>
      </c>
      <c r="AX34" s="287">
        <f t="shared" si="22"/>
        <v>51.1</v>
      </c>
      <c r="AY34" s="234">
        <f t="shared" si="23"/>
        <v>51</v>
      </c>
      <c r="AZ34" s="236"/>
      <c r="BA34" s="236"/>
      <c r="BC34" s="234">
        <f t="shared" ca="1" si="24"/>
        <v>28</v>
      </c>
      <c r="BD34" s="288">
        <f t="shared" ca="1" si="6"/>
        <v>46</v>
      </c>
      <c r="BF34" s="240" t="str">
        <f t="shared" ca="1" si="7"/>
        <v>TECO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TE</v>
      </c>
    </row>
    <row r="35" spans="1:61" ht="13.8" x14ac:dyDescent="0.25">
      <c r="A35" s="303" t="s">
        <v>76</v>
      </c>
      <c r="B35" s="304" t="s">
        <v>16</v>
      </c>
      <c r="C35" s="304">
        <v>19</v>
      </c>
      <c r="D35" s="304" t="s">
        <v>333</v>
      </c>
      <c r="E35" s="305" t="str">
        <f t="shared" ca="1" si="8"/>
        <v>R</v>
      </c>
      <c r="F35" s="306"/>
      <c r="G35" s="307">
        <f t="shared" ca="1" si="1"/>
        <v>50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>
        <f t="shared" ca="1" si="18"/>
        <v>1</v>
      </c>
      <c r="AJ35" s="236" t="e">
        <f t="shared" ca="1" si="19"/>
        <v>#N/A</v>
      </c>
      <c r="AK35" s="236" t="str">
        <f t="shared" ca="1" si="20"/>
        <v/>
      </c>
      <c r="AL35" s="236" t="str">
        <f t="shared" ca="1" si="20"/>
        <v/>
      </c>
      <c r="AM35" s="236" t="str">
        <f t="shared" ca="1" si="4"/>
        <v>Change</v>
      </c>
      <c r="AQ35" s="286" t="s">
        <v>12</v>
      </c>
      <c r="AR35" s="286" t="s">
        <v>16</v>
      </c>
      <c r="AS35" s="286">
        <v>19</v>
      </c>
      <c r="AT35" s="286" t="s">
        <v>308</v>
      </c>
      <c r="AV35" s="234">
        <f t="shared" si="21"/>
        <v>14</v>
      </c>
      <c r="AW35" s="234">
        <f>COUNTIF( AV$7:AV35, AV35 )</f>
        <v>10</v>
      </c>
      <c r="AX35" s="287">
        <f t="shared" si="22"/>
        <v>15</v>
      </c>
      <c r="AY35" s="234">
        <f t="shared" si="23"/>
        <v>23</v>
      </c>
      <c r="AZ35" s="236"/>
      <c r="BA35" s="236"/>
      <c r="BC35" s="234">
        <f t="shared" ca="1" si="24"/>
        <v>29</v>
      </c>
      <c r="BD35" s="288">
        <f t="shared" ca="1" si="6"/>
        <v>48</v>
      </c>
      <c r="BF35" s="240" t="str">
        <f t="shared" ca="1" si="7"/>
        <v>Unitil Corporation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UTL</v>
      </c>
    </row>
    <row r="36" spans="1:61" ht="13.8" x14ac:dyDescent="0.25">
      <c r="A36" s="303" t="s">
        <v>59</v>
      </c>
      <c r="B36" s="304" t="s">
        <v>16</v>
      </c>
      <c r="C36" s="304">
        <v>19</v>
      </c>
      <c r="D36" s="304" t="s">
        <v>336</v>
      </c>
      <c r="E36" s="305" t="str">
        <f t="shared" ca="1" si="8"/>
        <v>R</v>
      </c>
      <c r="F36" s="306"/>
      <c r="G36" s="307">
        <f t="shared" ca="1" si="1"/>
        <v>53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34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7</v>
      </c>
      <c r="AX36" s="287">
        <f t="shared" si="22"/>
        <v>2.7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6"/>
        <v>50</v>
      </c>
      <c r="BF36" s="240" t="str">
        <f t="shared" ca="1" si="7"/>
        <v>Westar Energy, Inc.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WR</v>
      </c>
    </row>
    <row r="37" spans="1:61" ht="13.8" x14ac:dyDescent="0.25">
      <c r="A37" s="303" t="s">
        <v>258</v>
      </c>
      <c r="B37" s="304" t="s">
        <v>28</v>
      </c>
      <c r="C37" s="304">
        <v>18</v>
      </c>
      <c r="D37" s="304" t="s">
        <v>274</v>
      </c>
      <c r="E37" s="305" t="str">
        <f t="shared" ca="1" si="8"/>
        <v>R</v>
      </c>
      <c r="F37" s="306"/>
      <c r="G37" s="307">
        <f t="shared" ca="1" si="1"/>
        <v>10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47</v>
      </c>
      <c r="AW37" s="234">
        <f>COUNTIF( AV$7:AV37, AV37 )</f>
        <v>3</v>
      </c>
      <c r="AX37" s="287">
        <f t="shared" si="22"/>
        <v>47.3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6"/>
        <v>4</v>
      </c>
      <c r="BF37" s="240" t="str">
        <f t="shared" ca="1" si="7"/>
        <v>American Electric Power Company, Inc.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AEP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31</v>
      </c>
      <c r="AW38" s="234">
        <f>COUNTIF( AV$7:AV38, AV38 )</f>
        <v>10</v>
      </c>
      <c r="AX38" s="287">
        <f t="shared" si="22"/>
        <v>32</v>
      </c>
      <c r="AY38" s="234">
        <f t="shared" si="23"/>
        <v>40</v>
      </c>
      <c r="AZ38" s="236"/>
      <c r="BA38" s="236"/>
      <c r="BC38" s="234">
        <f t="shared" ca="1" si="24"/>
        <v>32</v>
      </c>
      <c r="BD38" s="288">
        <f t="shared" ca="1" si="6"/>
        <v>5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48</v>
      </c>
      <c r="B39" s="304" t="s">
        <v>28</v>
      </c>
      <c r="C39" s="304">
        <v>18</v>
      </c>
      <c r="D39" s="304" t="s">
        <v>279</v>
      </c>
      <c r="E39" s="305" t="str">
        <f t="shared" ca="1" si="8"/>
        <v>R</v>
      </c>
      <c r="F39" s="306"/>
      <c r="G39" s="307">
        <f t="shared" ca="1" si="1"/>
        <v>12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37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7</v>
      </c>
      <c r="BF39" s="240" t="str">
        <f t="shared" ref="BF39:BI63" ca="1" si="25">OFFSET( AQ$6, $BD39, 0 )</f>
        <v>Black Hills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BKH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31</v>
      </c>
      <c r="AW40" s="234">
        <f>COUNTIF( AV$7:AV40, AV40 )</f>
        <v>11</v>
      </c>
      <c r="AX40" s="287">
        <f t="shared" si="22"/>
        <v>32.1</v>
      </c>
      <c r="AY40" s="234">
        <f t="shared" si="23"/>
        <v>41</v>
      </c>
      <c r="AZ40" s="236"/>
      <c r="BA40" s="236"/>
      <c r="BC40" s="234">
        <f t="shared" ca="1" si="24"/>
        <v>34</v>
      </c>
      <c r="BD40" s="288">
        <f t="shared" ca="1" si="6"/>
        <v>17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35</v>
      </c>
      <c r="B41" s="304" t="s">
        <v>28</v>
      </c>
      <c r="C41" s="304">
        <v>18</v>
      </c>
      <c r="D41" s="304" t="s">
        <v>292</v>
      </c>
      <c r="E41" s="305" t="str">
        <f t="shared" ca="1" si="8"/>
        <v>R</v>
      </c>
      <c r="F41" s="306"/>
      <c r="G41" s="307">
        <f t="shared" ca="1" si="1"/>
        <v>22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11</v>
      </c>
      <c r="AX41" s="287">
        <f t="shared" si="22"/>
        <v>15.1</v>
      </c>
      <c r="AY41" s="234">
        <f t="shared" si="23"/>
        <v>24</v>
      </c>
      <c r="AZ41" s="236"/>
      <c r="BA41" s="236"/>
      <c r="BC41" s="234">
        <f t="shared" ca="1" si="24"/>
        <v>35</v>
      </c>
      <c r="BD41" s="288">
        <f t="shared" ca="1" si="6"/>
        <v>18</v>
      </c>
      <c r="BF41" s="240" t="str">
        <f t="shared" ca="1" si="25"/>
        <v>Empire District Electric Company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EDE</v>
      </c>
    </row>
    <row r="42" spans="1:61" ht="13.8" x14ac:dyDescent="0.25">
      <c r="A42" s="303" t="s">
        <v>36</v>
      </c>
      <c r="B42" s="304" t="s">
        <v>28</v>
      </c>
      <c r="C42" s="304">
        <v>18</v>
      </c>
      <c r="D42" s="304" t="s">
        <v>296</v>
      </c>
      <c r="E42" s="305" t="str">
        <f t="shared" ca="1" si="8"/>
        <v>R</v>
      </c>
      <c r="F42" s="306"/>
      <c r="G42" s="307">
        <f t="shared" ca="1" si="1"/>
        <v>23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31</v>
      </c>
      <c r="AW42" s="234">
        <f>COUNTIF( AV$7:AV42, AV42 )</f>
        <v>12</v>
      </c>
      <c r="AX42" s="287">
        <f t="shared" si="22"/>
        <v>32.200000000000003</v>
      </c>
      <c r="AY42" s="234">
        <f t="shared" si="23"/>
        <v>42</v>
      </c>
      <c r="AZ42" s="236"/>
      <c r="BA42" s="236"/>
      <c r="BC42" s="234">
        <f t="shared" ca="1" si="24"/>
        <v>36</v>
      </c>
      <c r="BD42" s="288">
        <f t="shared" ca="1" si="6"/>
        <v>19</v>
      </c>
      <c r="BF42" s="240" t="str">
        <f t="shared" ca="1" si="25"/>
        <v>Entergy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ETR</v>
      </c>
    </row>
    <row r="43" spans="1:61" ht="13.8" x14ac:dyDescent="0.25">
      <c r="A43" s="303" t="s">
        <v>11</v>
      </c>
      <c r="B43" s="304" t="s">
        <v>28</v>
      </c>
      <c r="C43" s="304">
        <v>18</v>
      </c>
      <c r="D43" s="304" t="s">
        <v>297</v>
      </c>
      <c r="E43" s="305" t="str">
        <f t="shared" ca="1" si="8"/>
        <v>MR</v>
      </c>
      <c r="F43" s="306"/>
      <c r="G43" s="307">
        <f t="shared" ca="1" si="1"/>
        <v>24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42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21</v>
      </c>
      <c r="BF43" s="240" t="str">
        <f t="shared" ca="1" si="25"/>
        <v>Exelon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EXC</v>
      </c>
    </row>
    <row r="44" spans="1:61" ht="13.8" x14ac:dyDescent="0.25">
      <c r="A44" s="303" t="s">
        <v>451</v>
      </c>
      <c r="B44" s="304" t="s">
        <v>28</v>
      </c>
      <c r="C44" s="304">
        <v>18</v>
      </c>
      <c r="D44" s="304" t="s">
        <v>443</v>
      </c>
      <c r="E44" s="305" t="str">
        <f t="shared" ca="1" si="8"/>
        <v>R</v>
      </c>
      <c r="F44" s="306"/>
      <c r="G44" s="307">
        <f t="shared" ca="1" si="1"/>
        <v>57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43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31</v>
      </c>
      <c r="AW44" s="234">
        <f>COUNTIF( AV$7:AV44, AV44 )</f>
        <v>13</v>
      </c>
      <c r="AX44" s="287">
        <f t="shared" si="22"/>
        <v>32.299999999999997</v>
      </c>
      <c r="AY44" s="234">
        <f t="shared" si="23"/>
        <v>43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Iberdrola USA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**EAST</v>
      </c>
    </row>
    <row r="45" spans="1:61" ht="13.8" x14ac:dyDescent="0.25">
      <c r="A45" s="303" t="s">
        <v>20</v>
      </c>
      <c r="B45" s="304" t="s">
        <v>28</v>
      </c>
      <c r="C45" s="304">
        <v>18</v>
      </c>
      <c r="D45" s="304" t="s">
        <v>302</v>
      </c>
      <c r="E45" s="305" t="str">
        <f t="shared" ca="1" si="8"/>
        <v>R</v>
      </c>
      <c r="F45" s="306"/>
      <c r="G45" s="307">
        <f t="shared" ca="1" si="1"/>
        <v>28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44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31</v>
      </c>
      <c r="AW45" s="234">
        <f>COUNTIF( AV$7:AV45, AV45 )</f>
        <v>14</v>
      </c>
      <c r="AX45" s="287">
        <f t="shared" si="22"/>
        <v>32.4</v>
      </c>
      <c r="AY45" s="234">
        <f t="shared" si="23"/>
        <v>44</v>
      </c>
      <c r="AZ45" s="236"/>
      <c r="BA45" s="236"/>
      <c r="BC45" s="234">
        <f t="shared" ca="1" si="24"/>
        <v>39</v>
      </c>
      <c r="BD45" s="288">
        <f t="shared" ca="1" si="6"/>
        <v>26</v>
      </c>
      <c r="BF45" s="240" t="str">
        <f t="shared" ca="1" si="25"/>
        <v>IDACORP, Inc.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IDA</v>
      </c>
    </row>
    <row r="46" spans="1:61" ht="13.8" x14ac:dyDescent="0.25">
      <c r="A46" s="303" t="s">
        <v>66</v>
      </c>
      <c r="B46" s="304" t="s">
        <v>28</v>
      </c>
      <c r="C46" s="304">
        <v>18</v>
      </c>
      <c r="D46" s="304" t="s">
        <v>314</v>
      </c>
      <c r="E46" s="305" t="str">
        <f t="shared" ca="1" si="8"/>
        <v>R</v>
      </c>
      <c r="F46" s="306"/>
      <c r="G46" s="307">
        <f t="shared" ca="1" si="1"/>
        <v>35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45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31</v>
      </c>
      <c r="AW46" s="234">
        <f>COUNTIF( AV$7:AV46, AV46 )</f>
        <v>15</v>
      </c>
      <c r="AX46" s="287">
        <f t="shared" si="22"/>
        <v>32.5</v>
      </c>
      <c r="AY46" s="234">
        <f t="shared" si="23"/>
        <v>45</v>
      </c>
      <c r="AZ46" s="236"/>
      <c r="BA46" s="236"/>
      <c r="BC46" s="234">
        <f t="shared" ca="1" si="24"/>
        <v>40</v>
      </c>
      <c r="BD46" s="288">
        <f t="shared" ca="1" si="6"/>
        <v>32</v>
      </c>
      <c r="BF46" s="240" t="str">
        <f t="shared" ca="1" si="25"/>
        <v>NorthWestern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NWE</v>
      </c>
    </row>
    <row r="47" spans="1:61" ht="13.8" x14ac:dyDescent="0.25">
      <c r="A47" s="303" t="s">
        <v>22</v>
      </c>
      <c r="B47" s="304" t="s">
        <v>28</v>
      </c>
      <c r="C47" s="304">
        <v>18</v>
      </c>
      <c r="D47" s="304" t="s">
        <v>316</v>
      </c>
      <c r="E47" s="305" t="str">
        <f t="shared" ca="1" si="8"/>
        <v>R</v>
      </c>
      <c r="F47" s="306"/>
      <c r="G47" s="307">
        <f t="shared" ca="1" si="1"/>
        <v>37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46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12</v>
      </c>
      <c r="AX47" s="287">
        <f t="shared" si="22"/>
        <v>15.2</v>
      </c>
      <c r="AY47" s="234">
        <f t="shared" si="23"/>
        <v>25</v>
      </c>
      <c r="AZ47" s="236"/>
      <c r="BA47" s="236"/>
      <c r="BC47" s="234">
        <f t="shared" ca="1" si="24"/>
        <v>41</v>
      </c>
      <c r="BD47" s="288">
        <f t="shared" ca="1" si="6"/>
        <v>34</v>
      </c>
      <c r="BF47" s="240" t="str">
        <f t="shared" ca="1" si="25"/>
        <v>Otter Tail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OTTR</v>
      </c>
    </row>
    <row r="48" spans="1:61" ht="13.8" x14ac:dyDescent="0.25">
      <c r="A48" s="303" t="s">
        <v>53</v>
      </c>
      <c r="B48" s="304" t="s">
        <v>28</v>
      </c>
      <c r="C48" s="304">
        <v>18</v>
      </c>
      <c r="D48" s="304" t="s">
        <v>317</v>
      </c>
      <c r="E48" s="305" t="str">
        <f t="shared" ca="1" si="8"/>
        <v>R</v>
      </c>
      <c r="F48" s="306"/>
      <c r="G48" s="307">
        <f t="shared" ca="1" si="1"/>
        <v>39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47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47</v>
      </c>
      <c r="AW48" s="234">
        <f>COUNTIF( AV$7:AV48, AV48 )</f>
        <v>4</v>
      </c>
      <c r="AX48" s="287">
        <f t="shared" si="22"/>
        <v>47.4</v>
      </c>
      <c r="AY48" s="234">
        <f t="shared" si="23"/>
        <v>50</v>
      </c>
      <c r="AZ48" s="236"/>
      <c r="BA48" s="236"/>
      <c r="BC48" s="234">
        <f t="shared" ca="1" si="24"/>
        <v>42</v>
      </c>
      <c r="BD48" s="288">
        <f t="shared" ca="1" si="6"/>
        <v>36</v>
      </c>
      <c r="BF48" s="240" t="str">
        <f t="shared" ca="1" si="25"/>
        <v>PG&amp;E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PCG</v>
      </c>
    </row>
    <row r="49" spans="1:61" ht="13.8" x14ac:dyDescent="0.25">
      <c r="A49" s="303" t="s">
        <v>42</v>
      </c>
      <c r="B49" s="304" t="s">
        <v>28</v>
      </c>
      <c r="C49" s="304">
        <v>18</v>
      </c>
      <c r="D49" s="304" t="s">
        <v>320</v>
      </c>
      <c r="E49" s="305" t="str">
        <f t="shared" ca="1" si="8"/>
        <v>R</v>
      </c>
      <c r="F49" s="306"/>
      <c r="G49" s="307">
        <f t="shared" ca="1" si="1"/>
        <v>41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48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13</v>
      </c>
      <c r="AX49" s="287">
        <f t="shared" si="22"/>
        <v>15.3</v>
      </c>
      <c r="AY49" s="234">
        <f t="shared" si="23"/>
        <v>26</v>
      </c>
      <c r="AZ49" s="236"/>
      <c r="BA49" s="236"/>
      <c r="BC49" s="234">
        <f t="shared" ca="1" si="24"/>
        <v>43</v>
      </c>
      <c r="BD49" s="288">
        <f t="shared" ca="1" si="6"/>
        <v>38</v>
      </c>
      <c r="BF49" s="240" t="str">
        <f t="shared" ca="1" si="25"/>
        <v>PNM Resources, Inc.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PNM</v>
      </c>
    </row>
    <row r="50" spans="1:61" ht="13.8" x14ac:dyDescent="0.25">
      <c r="A50" s="303" t="s">
        <v>24</v>
      </c>
      <c r="B50" s="304" t="s">
        <v>28</v>
      </c>
      <c r="C50" s="304">
        <v>18</v>
      </c>
      <c r="D50" s="304" t="s">
        <v>323</v>
      </c>
      <c r="E50" s="305" t="str">
        <f t="shared" ca="1" si="8"/>
        <v>R</v>
      </c>
      <c r="F50" s="306"/>
      <c r="G50" s="307">
        <f t="shared" ca="1" si="1"/>
        <v>42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49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9" t="s">
        <v>328</v>
      </c>
      <c r="AV50" s="234">
        <f t="shared" si="21"/>
        <v>14</v>
      </c>
      <c r="AW50" s="234">
        <f>COUNTIF( AV$7:AV50, AV50 )</f>
        <v>14</v>
      </c>
      <c r="AX50" s="287">
        <f t="shared" si="22"/>
        <v>15.4</v>
      </c>
      <c r="AY50" s="234">
        <f t="shared" si="23"/>
        <v>27</v>
      </c>
      <c r="AZ50" s="236"/>
      <c r="BA50" s="236"/>
      <c r="BC50" s="234">
        <f t="shared" ca="1" si="24"/>
        <v>44</v>
      </c>
      <c r="BD50" s="288">
        <f t="shared" ca="1" si="6"/>
        <v>39</v>
      </c>
      <c r="BF50" s="240" t="str">
        <f t="shared" ca="1" si="25"/>
        <v>Portland General Electric Company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POR</v>
      </c>
    </row>
    <row r="51" spans="1:61" ht="13.8" x14ac:dyDescent="0.25">
      <c r="A51" s="303" t="s">
        <v>43</v>
      </c>
      <c r="B51" s="304" t="s">
        <v>28</v>
      </c>
      <c r="C51" s="304">
        <v>18</v>
      </c>
      <c r="D51" s="304" t="s">
        <v>324</v>
      </c>
      <c r="E51" s="305" t="str">
        <f t="shared" ca="1" si="8"/>
        <v>MR</v>
      </c>
      <c r="F51" s="306"/>
      <c r="G51" s="307">
        <f t="shared" ca="1" si="1"/>
        <v>43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50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40</v>
      </c>
      <c r="BF51" s="240" t="str">
        <f t="shared" ca="1" si="25"/>
        <v>PPL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PPL</v>
      </c>
    </row>
    <row r="52" spans="1:61" ht="13.8" x14ac:dyDescent="0.25">
      <c r="A52" s="303" t="s">
        <v>75</v>
      </c>
      <c r="B52" s="304" t="s">
        <v>28</v>
      </c>
      <c r="C52" s="304">
        <v>18</v>
      </c>
      <c r="D52" s="304" t="s">
        <v>331</v>
      </c>
      <c r="E52" s="305" t="str">
        <f t="shared" ca="1" si="8"/>
        <v>R</v>
      </c>
      <c r="F52" s="306"/>
      <c r="G52" s="307">
        <f t="shared" ca="1" si="1"/>
        <v>49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51</v>
      </c>
      <c r="AK52" s="236" t="str">
        <f t="shared" ca="1" si="20"/>
        <v>BBB</v>
      </c>
      <c r="AL52" s="236">
        <f t="shared" ca="1" si="20"/>
        <v>18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15</v>
      </c>
      <c r="AX52" s="287">
        <f t="shared" si="22"/>
        <v>15.5</v>
      </c>
      <c r="AY52" s="234">
        <f t="shared" si="23"/>
        <v>28</v>
      </c>
      <c r="AZ52" s="236"/>
      <c r="BA52" s="236"/>
      <c r="BC52" s="234">
        <f t="shared" ca="1" si="24"/>
        <v>46</v>
      </c>
      <c r="BD52" s="288">
        <f t="shared" ca="1" si="6"/>
        <v>47</v>
      </c>
      <c r="BF52" s="240" t="str">
        <f t="shared" ca="1" si="25"/>
        <v>UIL Holdings Corporation</v>
      </c>
      <c r="BG52" s="240" t="str">
        <f t="shared" ca="1" si="25"/>
        <v>BBB</v>
      </c>
      <c r="BH52" s="240">
        <f t="shared" ca="1" si="25"/>
        <v>18</v>
      </c>
      <c r="BI52" s="240" t="str">
        <f t="shared" ca="1" si="25"/>
        <v>UIL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8"/>
        <v>MR</v>
      </c>
      <c r="F53" s="306"/>
      <c r="G53" s="307">
        <f t="shared" ca="1" si="1"/>
        <v>25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52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31</v>
      </c>
      <c r="AW53" s="234">
        <f>COUNTIF( AV$7:AV53, AV53 )</f>
        <v>16</v>
      </c>
      <c r="AX53" s="287">
        <f t="shared" si="22"/>
        <v>32.6</v>
      </c>
      <c r="AY53" s="234">
        <f t="shared" si="23"/>
        <v>46</v>
      </c>
      <c r="AZ53" s="236"/>
      <c r="BA53" s="236"/>
      <c r="BC53" s="234">
        <f t="shared" ca="1" si="24"/>
        <v>47</v>
      </c>
      <c r="BD53" s="288">
        <f t="shared" ca="1" si="6"/>
        <v>22</v>
      </c>
      <c r="BF53" s="240" t="str">
        <f t="shared" ca="1" si="25"/>
        <v>FirstEnergy Corp.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8"/>
        <v>D</v>
      </c>
      <c r="F54" s="306"/>
      <c r="G54" s="307">
        <f t="shared" ca="1" si="1"/>
        <v>27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53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76</v>
      </c>
      <c r="AR54" s="286" t="s">
        <v>16</v>
      </c>
      <c r="AS54" s="286">
        <v>19</v>
      </c>
      <c r="AT54" s="286" t="s">
        <v>333</v>
      </c>
      <c r="AV54" s="234">
        <f t="shared" si="21"/>
        <v>14</v>
      </c>
      <c r="AW54" s="234">
        <f>COUNTIF( AV$7:AV54, AV54 )</f>
        <v>16</v>
      </c>
      <c r="AX54" s="287">
        <f t="shared" si="22"/>
        <v>15.6</v>
      </c>
      <c r="AY54" s="234">
        <f t="shared" si="23"/>
        <v>29</v>
      </c>
      <c r="AZ54" s="236"/>
      <c r="BA54" s="236"/>
      <c r="BC54" s="234">
        <f t="shared" ca="1" si="24"/>
        <v>48</v>
      </c>
      <c r="BD54" s="288">
        <f t="shared" ca="1" si="6"/>
        <v>24</v>
      </c>
      <c r="BF54" s="240" t="str">
        <f t="shared" ca="1" si="25"/>
        <v>Hawaiian Electric Industries,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HE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8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6"/>
        <v>31</v>
      </c>
      <c r="BF55" s="240" t="str">
        <f t="shared" ca="1" si="25"/>
        <v>NiSource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NI</v>
      </c>
    </row>
    <row r="56" spans="1:61" ht="13.8" x14ac:dyDescent="0.25">
      <c r="A56" s="303" t="s">
        <v>54</v>
      </c>
      <c r="B56" s="304" t="s">
        <v>49</v>
      </c>
      <c r="C56" s="304">
        <v>17</v>
      </c>
      <c r="D56" s="304" t="s">
        <v>448</v>
      </c>
      <c r="E56" s="305" t="str">
        <f t="shared" ca="1" si="8"/>
        <v>R</v>
      </c>
      <c r="F56" s="306"/>
      <c r="G56" s="307">
        <f t="shared" ca="1" si="1"/>
        <v>62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4"/>
        <v/>
      </c>
      <c r="AQ56" s="286" t="s">
        <v>59</v>
      </c>
      <c r="AR56" s="286" t="s">
        <v>16</v>
      </c>
      <c r="AS56" s="286">
        <v>19</v>
      </c>
      <c r="AT56" s="286" t="s">
        <v>336</v>
      </c>
      <c r="AV56" s="234">
        <f t="shared" si="21"/>
        <v>14</v>
      </c>
      <c r="AW56" s="234">
        <f>COUNTIF( AV$7:AV56, AV56 )</f>
        <v>17</v>
      </c>
      <c r="AX56" s="287">
        <f t="shared" si="22"/>
        <v>15.7</v>
      </c>
      <c r="AY56" s="234">
        <f t="shared" si="23"/>
        <v>30</v>
      </c>
      <c r="AZ56" s="236"/>
      <c r="BA56" s="236"/>
      <c r="BC56" s="234">
        <f t="shared" ca="1" si="24"/>
        <v>50</v>
      </c>
      <c r="BD56" s="288">
        <f t="shared" ca="1" si="6"/>
        <v>42</v>
      </c>
      <c r="BF56" s="240" t="str">
        <f t="shared" ca="1" si="25"/>
        <v>Puget Energy, Inc.</v>
      </c>
      <c r="BG56" s="240" t="str">
        <f t="shared" ca="1" si="25"/>
        <v>BBB-</v>
      </c>
      <c r="BH56" s="240">
        <f t="shared" ca="1" si="25"/>
        <v>17</v>
      </c>
      <c r="BI56" s="240" t="str">
        <f t="shared" ca="1" si="25"/>
        <v>**PSD</v>
      </c>
    </row>
    <row r="57" spans="1:61" ht="13.8" x14ac:dyDescent="0.25">
      <c r="A57" s="303" t="s">
        <v>58</v>
      </c>
      <c r="B57" s="304" t="s">
        <v>56</v>
      </c>
      <c r="C57" s="304">
        <v>16</v>
      </c>
      <c r="D57" s="304" t="s">
        <v>445</v>
      </c>
      <c r="E57" s="305" t="str">
        <f t="shared" ca="1" si="8"/>
        <v>R</v>
      </c>
      <c r="F57" s="306"/>
      <c r="G57" s="307">
        <f t="shared" ca="1" si="1"/>
        <v>60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56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4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6"/>
        <v>28</v>
      </c>
      <c r="BF57" s="240" t="str">
        <f t="shared" ca="1" si="25"/>
        <v>IPALCO Enterprises, Inc.</v>
      </c>
      <c r="BG57" s="240" t="str">
        <f t="shared" ca="1" si="25"/>
        <v>BB+</v>
      </c>
      <c r="BH57" s="240">
        <f t="shared" ca="1" si="25"/>
        <v>16</v>
      </c>
      <c r="BI57" s="240" t="str">
        <f t="shared" ca="1" si="25"/>
        <v>**IPALCO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8"/>
        <v>R</v>
      </c>
      <c r="F58" s="306"/>
      <c r="G58" s="307">
        <f t="shared" ca="1" si="1"/>
        <v>58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19"/>
        <v>57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4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6"/>
        <v>13</v>
      </c>
      <c r="BF58" s="240" t="str">
        <f t="shared" ca="1" si="25"/>
        <v>DPL Inc.</v>
      </c>
      <c r="BG58" s="240" t="str">
        <f t="shared" ca="1" si="25"/>
        <v>BB</v>
      </c>
      <c r="BH58" s="240">
        <f t="shared" ca="1" si="25"/>
        <v>15</v>
      </c>
      <c r="BI58" s="240" t="str">
        <f t="shared" ca="1" si="25"/>
        <v>**DPL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248</v>
      </c>
      <c r="B62" s="304"/>
      <c r="C62" s="304"/>
      <c r="D62" s="304" t="s">
        <v>444</v>
      </c>
      <c r="E62" s="305" t="str">
        <f t="shared" ca="1" si="8"/>
        <v>D</v>
      </c>
      <c r="F62" s="306"/>
      <c r="G62" s="307">
        <f t="shared" ca="1" si="1"/>
        <v>59</v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>
        <f t="shared" ca="1" si="19"/>
        <v>64</v>
      </c>
      <c r="AK62" s="236">
        <f t="shared" ca="1" si="20"/>
        <v>0</v>
      </c>
      <c r="AL62" s="236">
        <f t="shared" ca="1" si="20"/>
        <v>0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248</v>
      </c>
      <c r="AR65" s="286"/>
      <c r="AS65" s="286"/>
      <c r="AT65" s="286" t="s">
        <v>444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18.754716981132077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18.735849056603772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'Credit_2014Q2'!d:d</v>
      </c>
      <c r="AK2" s="240" t="str">
        <f>AK4 &amp; AK3</f>
        <v>'Credit_2014Q2'!b1</v>
      </c>
      <c r="AL2" s="240" t="str">
        <f>AL4 &amp; AL3</f>
        <v>'Credit_2014Q2'!c1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'Credit_2014Q2'!</v>
      </c>
      <c r="AK4" s="236" t="str">
        <f t="shared" ref="AK4:AL4" si="0">$AQ$5</f>
        <v>'Credit_2014Q2'!</v>
      </c>
      <c r="AL4" s="236" t="str">
        <f t="shared" si="0"/>
        <v>'Credit_2014Q2'!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(53)</v>
      </c>
      <c r="M5" s="505"/>
      <c r="N5" s="314"/>
      <c r="O5" s="503" t="str">
        <f ca="1">"Regulated" &amp; CHAR( 10 ) &amp; "(" &amp; O14 &amp; ")"</f>
        <v>Regulated
(38)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507</v>
      </c>
    </row>
    <row r="6" spans="1:61" ht="28.5" customHeight="1" x14ac:dyDescent="0.25">
      <c r="A6" s="299" t="s">
        <v>0</v>
      </c>
      <c r="B6" s="300" t="s">
        <v>502</v>
      </c>
      <c r="C6" s="338" t="s">
        <v>470</v>
      </c>
      <c r="D6" s="301"/>
      <c r="E6" s="302">
        <f ca="1">INDIRECT( E3 &amp; G1 )</f>
        <v>41639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5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18.716981132075471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18.605263157894736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19.153846153846153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6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9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6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11</v>
      </c>
      <c r="AR26" s="286" t="s">
        <v>28</v>
      </c>
      <c r="AS26" s="286">
        <v>18</v>
      </c>
      <c r="AT26" s="289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</v>
      </c>
      <c r="AR27" s="286" t="s">
        <v>49</v>
      </c>
      <c r="AS27" s="286">
        <v>17</v>
      </c>
      <c r="AT27" s="289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6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9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51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62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63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Reg_Percent_2013</v>
      </c>
      <c r="G2" s="239" t="s">
        <v>504</v>
      </c>
      <c r="AJ2" s="240" t="str">
        <f>AJ4 &amp; AJ3</f>
        <v>'Credit_2014Q1'!d:d</v>
      </c>
      <c r="AK2" s="240" t="str">
        <f>AK4 &amp; AK3</f>
        <v>'Credit_2014Q1'!b1</v>
      </c>
      <c r="AL2" s="240" t="str">
        <f>AL4 &amp; AL3</f>
        <v>'Credit_2014Q1'!c1</v>
      </c>
      <c r="AQ2" s="236"/>
    </row>
    <row r="3" spans="1:61" ht="18" hidden="1" outlineLevel="1" x14ac:dyDescent="0.25">
      <c r="A3" s="233"/>
      <c r="E3" s="241" t="str">
        <f>"'" &amp; E2 &amp; "'!"</f>
        <v>'Reg_Percent_2013'!</v>
      </c>
      <c r="G3" s="234" t="str">
        <f>"'" &amp; G2 &amp; "'!"</f>
        <v>'Reg_Percent_2013'!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'Credit_2014Q1'!</v>
      </c>
      <c r="AK4" s="236" t="str">
        <f t="shared" ref="AK4:AL4" si="0">$AQ$5</f>
        <v>'Credit_2014Q1'!</v>
      </c>
      <c r="AL4" s="236" t="str">
        <f t="shared" si="0"/>
        <v>'Credit_2014Q1'!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(53)</v>
      </c>
      <c r="M5" s="505"/>
      <c r="N5" s="314"/>
      <c r="O5" s="503" t="str">
        <f ca="1">"Regulated" &amp; CHAR( 10 ) &amp; "(" &amp; O14 &amp; ")"</f>
        <v>Regulated
(38)</v>
      </c>
      <c r="P5" s="507"/>
      <c r="Q5" s="314"/>
      <c r="R5" s="503" t="str">
        <f ca="1">"Mostly Regulated" &amp; CHAR( 10 ) &amp; "(" &amp; R14 &amp; ")"</f>
        <v>Mostly Regulated
(13)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499</v>
      </c>
    </row>
    <row r="6" spans="1:61" ht="28.5" customHeight="1" x14ac:dyDescent="0.25">
      <c r="A6" s="299" t="s">
        <v>0</v>
      </c>
      <c r="B6" s="300" t="s">
        <v>501</v>
      </c>
      <c r="C6" s="338" t="s">
        <v>470</v>
      </c>
      <c r="D6" s="301"/>
      <c r="E6" s="302">
        <f ca="1">INDIRECT( E3 &amp; G1 )</f>
        <v>41639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ca="1">IF( LEN( $G7 ) = 0, "", OFFSET( INDIRECT( E$3 &amp; E$4 ), $G7 - 1, 0 ) )</f>
        <v>R</v>
      </c>
      <c r="F7" s="306"/>
      <c r="G7" s="307">
        <f t="shared" ref="G7:G64" ca="1" si="1">IF( LEN( $D7 ) = 0, "", MATCH( $D7, INDIRECT( G$3 &amp; G$4 ), 0 ) )</f>
        <v>47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45</v>
      </c>
      <c r="BF7" s="240" t="str">
        <f t="shared" ref="BF7:BI38" ca="1" si="7">OFFSET( AQ$6, $BD7, 0 )</f>
        <v>Southern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4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3.7735849056603772E-2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2.6315789473684209E-2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7.6923076923076927E-2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8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0.22641509433962265</v>
      </c>
      <c r="N9" s="318"/>
      <c r="O9" s="295">
        <f t="shared" ca="1" si="11"/>
        <v>8</v>
      </c>
      <c r="P9" s="296">
        <f t="shared" ca="1" si="12"/>
        <v>0.21052631578947367</v>
      </c>
      <c r="Q9" s="318"/>
      <c r="R9" s="295">
        <f t="shared" ca="1" si="13"/>
        <v>4</v>
      </c>
      <c r="S9" s="296">
        <f t="shared" ca="1" si="14"/>
        <v>0.30769230769230771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8</v>
      </c>
      <c r="BF9" s="240" t="str">
        <f t="shared" ca="1" si="7"/>
        <v>CenterPoint Energy,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15</v>
      </c>
      <c r="M10" s="296">
        <f t="shared" si="10"/>
        <v>0.28301886792452829</v>
      </c>
      <c r="N10" s="318"/>
      <c r="O10" s="295">
        <f t="shared" ca="1" si="11"/>
        <v>10</v>
      </c>
      <c r="P10" s="296">
        <f t="shared" ca="1" si="12"/>
        <v>0.26315789473684209</v>
      </c>
      <c r="Q10" s="318"/>
      <c r="R10" s="295">
        <f t="shared" ca="1" si="13"/>
        <v>4</v>
      </c>
      <c r="S10" s="296">
        <f t="shared" ca="1" si="14"/>
        <v>0.30769230769230771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15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29</v>
      </c>
      <c r="AW10" s="234">
        <f>COUNTIF( AV$7:AV10, AV10 )</f>
        <v>1</v>
      </c>
      <c r="AX10" s="287">
        <f t="shared" si="22"/>
        <v>29.1</v>
      </c>
      <c r="AY10" s="234">
        <f t="shared" si="23"/>
        <v>29</v>
      </c>
      <c r="AZ10" s="236"/>
      <c r="BA10" s="236"/>
      <c r="BC10" s="234">
        <f t="shared" ca="1" si="24"/>
        <v>4</v>
      </c>
      <c r="BD10" s="288">
        <f t="shared" ca="1" si="6"/>
        <v>11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8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18</v>
      </c>
      <c r="M11" s="296">
        <f t="shared" si="10"/>
        <v>0.33962264150943394</v>
      </c>
      <c r="N11" s="318"/>
      <c r="O11" s="295">
        <f t="shared" ca="1" si="11"/>
        <v>16</v>
      </c>
      <c r="P11" s="296">
        <f t="shared" ca="1" si="12"/>
        <v>0.42105263157894735</v>
      </c>
      <c r="Q11" s="318"/>
      <c r="R11" s="295">
        <f t="shared" ca="1" si="13"/>
        <v>2</v>
      </c>
      <c r="S11" s="296">
        <f t="shared" ca="1" si="14"/>
        <v>0.15384615384615385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18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29</v>
      </c>
      <c r="AW11" s="234">
        <f>COUNTIF( AV$7:AV11, AV11 )</f>
        <v>2</v>
      </c>
      <c r="AX11" s="287">
        <f t="shared" si="22"/>
        <v>29.2</v>
      </c>
      <c r="AY11" s="234">
        <f t="shared" si="23"/>
        <v>30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Dominion Resources,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8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7.5471698113207544E-2</v>
      </c>
      <c r="N12" s="318"/>
      <c r="O12" s="295">
        <f t="shared" ca="1" si="11"/>
        <v>1</v>
      </c>
      <c r="P12" s="296">
        <f t="shared" ca="1" si="12"/>
        <v>2.6315789473684209E-2</v>
      </c>
      <c r="Q12" s="318"/>
      <c r="R12" s="295">
        <f t="shared" ca="1" si="13"/>
        <v>2</v>
      </c>
      <c r="S12" s="296">
        <f t="shared" ca="1" si="14"/>
        <v>0.15384615384615385</v>
      </c>
      <c r="T12" s="318"/>
      <c r="U12" s="295">
        <f t="shared" ca="1" si="15"/>
        <v>1</v>
      </c>
      <c r="V12" s="296">
        <f t="shared" ca="1" si="16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500</v>
      </c>
      <c r="AR12" s="286" t="s">
        <v>16</v>
      </c>
      <c r="AS12" s="286">
        <v>19</v>
      </c>
      <c r="AT12" s="286" t="s">
        <v>446</v>
      </c>
      <c r="AV12" s="234">
        <f t="shared" si="21"/>
        <v>14</v>
      </c>
      <c r="AW12" s="234">
        <f>COUNTIF( AV$7:AV12, AV12 )</f>
        <v>3</v>
      </c>
      <c r="AX12" s="287">
        <f t="shared" si="22"/>
        <v>14.3</v>
      </c>
      <c r="AY12" s="234">
        <f t="shared" si="23"/>
        <v>16</v>
      </c>
      <c r="AZ12" s="236"/>
      <c r="BA12" s="236"/>
      <c r="BC12" s="234">
        <f t="shared" ca="1" si="24"/>
        <v>6</v>
      </c>
      <c r="BD12" s="288">
        <f t="shared" ca="1" si="6"/>
        <v>26</v>
      </c>
      <c r="BF12" s="240" t="str">
        <f t="shared" ca="1" si="7"/>
        <v>Integrys Energy Group,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8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3.7735849056603772E-2</v>
      </c>
      <c r="N13" s="319"/>
      <c r="O13" s="297">
        <f t="shared" ca="1" si="11"/>
        <v>2</v>
      </c>
      <c r="P13" s="298">
        <f t="shared" ca="1" si="12"/>
        <v>5.2631578947368418E-2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48</v>
      </c>
      <c r="AR13" s="286" t="s">
        <v>28</v>
      </c>
      <c r="AS13" s="286">
        <v>18</v>
      </c>
      <c r="AT13" s="286" t="s">
        <v>279</v>
      </c>
      <c r="AV13" s="234">
        <f t="shared" si="21"/>
        <v>29</v>
      </c>
      <c r="AW13" s="234">
        <f>COUNTIF( AV$7:AV13, AV13 )</f>
        <v>3</v>
      </c>
      <c r="AX13" s="287">
        <f t="shared" si="22"/>
        <v>29.3</v>
      </c>
      <c r="AY13" s="234">
        <f t="shared" si="23"/>
        <v>31</v>
      </c>
      <c r="AZ13" s="236"/>
      <c r="BA13" s="236"/>
      <c r="BC13" s="234">
        <f t="shared" ca="1" si="24"/>
        <v>7</v>
      </c>
      <c r="BD13" s="288">
        <f t="shared" ca="1" si="6"/>
        <v>29</v>
      </c>
      <c r="BF13" s="240" t="str">
        <f t="shared" ca="1" si="7"/>
        <v>NextEra Energy,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8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53</v>
      </c>
      <c r="M14" s="292">
        <f>L14/L$14</f>
        <v>1</v>
      </c>
      <c r="N14" s="320"/>
      <c r="O14" s="291">
        <f ca="1">SUM(O8:O13)</f>
        <v>38</v>
      </c>
      <c r="P14" s="292">
        <f ca="1">O14/O$14</f>
        <v>1</v>
      </c>
      <c r="Q14" s="320"/>
      <c r="R14" s="291">
        <f ca="1">SUM(R8:R13)</f>
        <v>13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18.69811320754717</v>
      </c>
      <c r="Z14" s="261"/>
      <c r="AA14" s="433">
        <f ca="1">SUM(AA8:AA13)</f>
        <v>53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29</v>
      </c>
      <c r="AR14" s="286" t="s">
        <v>10</v>
      </c>
      <c r="AS14" s="286">
        <v>20</v>
      </c>
      <c r="AT14" s="286" t="s">
        <v>285</v>
      </c>
      <c r="AV14" s="234">
        <f>IF( LEN( AS14 ) = 0, 99, RANK( AS14, $AS$7:$AS$63 ) )</f>
        <v>2</v>
      </c>
      <c r="AW14" s="234">
        <f>COUNTIF( AV$7:AV14, AV14 )</f>
        <v>2</v>
      </c>
      <c r="AX14" s="287">
        <f t="shared" si="22"/>
        <v>2.2000000000000002</v>
      </c>
      <c r="AY14" s="234">
        <f t="shared" si="23"/>
        <v>3</v>
      </c>
      <c r="AZ14" s="236"/>
      <c r="BA14" s="236"/>
      <c r="BC14" s="234">
        <f t="shared" ca="1" si="24"/>
        <v>8</v>
      </c>
      <c r="BD14" s="288">
        <f t="shared" ca="1" si="6"/>
        <v>31</v>
      </c>
      <c r="BF14" s="240" t="str">
        <f t="shared" ca="1" si="7"/>
        <v>Eversource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8"/>
        <v>R</v>
      </c>
      <c r="F15" s="306"/>
      <c r="G15" s="307">
        <f t="shared" ca="1" si="1"/>
        <v>36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30</v>
      </c>
      <c r="AR15" s="286" t="s">
        <v>16</v>
      </c>
      <c r="AS15" s="286">
        <v>19</v>
      </c>
      <c r="AT15" s="286" t="s">
        <v>284</v>
      </c>
      <c r="AV15" s="234">
        <f t="shared" si="21"/>
        <v>14</v>
      </c>
      <c r="AW15" s="234">
        <f>COUNTIF( AV$7:AV15, AV15 )</f>
        <v>4</v>
      </c>
      <c r="AX15" s="287">
        <f t="shared" si="22"/>
        <v>14.4</v>
      </c>
      <c r="AY15" s="234">
        <f t="shared" si="23"/>
        <v>17</v>
      </c>
      <c r="AZ15" s="236"/>
      <c r="BA15" s="236"/>
      <c r="BC15" s="234">
        <f t="shared" ca="1" si="24"/>
        <v>9</v>
      </c>
      <c r="BD15" s="288">
        <f t="shared" ca="1" si="6"/>
        <v>33</v>
      </c>
      <c r="BF15" s="240" t="str">
        <f t="shared" ca="1" si="7"/>
        <v>OGE Energy Corp.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18.716981132075471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18.605263157894736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19.153846153846153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60</v>
      </c>
      <c r="AR16" s="286" t="s">
        <v>28</v>
      </c>
      <c r="AS16" s="286">
        <v>18</v>
      </c>
      <c r="AT16" s="286" t="s">
        <v>283</v>
      </c>
      <c r="AV16" s="234">
        <f t="shared" si="21"/>
        <v>29</v>
      </c>
      <c r="AW16" s="234">
        <f>COUNTIF( AV$7:AV16, AV16 )</f>
        <v>4</v>
      </c>
      <c r="AX16" s="287">
        <f t="shared" si="22"/>
        <v>29.4</v>
      </c>
      <c r="AY16" s="234">
        <f t="shared" si="23"/>
        <v>32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Pinnacle West Capital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8"/>
        <v>MR</v>
      </c>
      <c r="F17" s="306"/>
      <c r="G17" s="307">
        <f t="shared" ca="1" si="1"/>
        <v>52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3</v>
      </c>
      <c r="AR17" s="286" t="s">
        <v>10</v>
      </c>
      <c r="AS17" s="286">
        <v>20</v>
      </c>
      <c r="AT17" s="286" t="s">
        <v>291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6"/>
        <v>48</v>
      </c>
      <c r="BF17" s="240" t="str">
        <f t="shared" ca="1" si="7"/>
        <v>Vectren Corporation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54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18</v>
      </c>
      <c r="AR18" s="286" t="s">
        <v>10</v>
      </c>
      <c r="AS18" s="286">
        <v>20</v>
      </c>
      <c r="AT18" s="289" t="s">
        <v>86</v>
      </c>
      <c r="AV18" s="234">
        <f t="shared" si="21"/>
        <v>2</v>
      </c>
      <c r="AW18" s="234">
        <f>COUNTIF( AV$7:AV18, AV18 )</f>
        <v>4</v>
      </c>
      <c r="AX18" s="287">
        <f t="shared" si="22"/>
        <v>2.4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50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55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64</v>
      </c>
      <c r="AR19" s="286" t="s">
        <v>61</v>
      </c>
      <c r="AS19" s="286">
        <v>15</v>
      </c>
      <c r="AT19" s="286" t="s">
        <v>442</v>
      </c>
      <c r="AV19" s="234">
        <f t="shared" si="21"/>
        <v>51</v>
      </c>
      <c r="AW19" s="234">
        <f>COUNTIF( AV$7:AV19, AV19 )</f>
        <v>1</v>
      </c>
      <c r="AX19" s="287">
        <f t="shared" si="22"/>
        <v>51.1</v>
      </c>
      <c r="AY19" s="234">
        <f t="shared" si="23"/>
        <v>51</v>
      </c>
      <c r="AZ19" s="236"/>
      <c r="BA19" s="236"/>
      <c r="BC19" s="234">
        <f t="shared" ca="1" si="24"/>
        <v>13</v>
      </c>
      <c r="BD19" s="288">
        <f t="shared" ca="1" si="6"/>
        <v>51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31</v>
      </c>
      <c r="AR20" s="286" t="s">
        <v>16</v>
      </c>
      <c r="AS20" s="286">
        <v>19</v>
      </c>
      <c r="AT20" s="286" t="s">
        <v>288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32</v>
      </c>
      <c r="AR21" s="286" t="s">
        <v>16</v>
      </c>
      <c r="AS21" s="286">
        <v>19</v>
      </c>
      <c r="AT21" s="286" t="s">
        <v>289</v>
      </c>
      <c r="AV21" s="234">
        <f t="shared" si="21"/>
        <v>14</v>
      </c>
      <c r="AW21" s="234">
        <f>COUNTIF( AV$7:AV21, AV21 )</f>
        <v>6</v>
      </c>
      <c r="AX21" s="287">
        <f t="shared" si="22"/>
        <v>14.6</v>
      </c>
      <c r="AY21" s="234">
        <f t="shared" si="23"/>
        <v>19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500</v>
      </c>
      <c r="B22" s="304" t="s">
        <v>16</v>
      </c>
      <c r="C22" s="304">
        <v>19</v>
      </c>
      <c r="D22" s="304" t="s">
        <v>446</v>
      </c>
      <c r="E22" s="305" t="str">
        <f t="shared" ca="1" si="8"/>
        <v>MR</v>
      </c>
      <c r="F22" s="306"/>
      <c r="G22" s="307">
        <f t="shared" ca="1" si="1"/>
        <v>61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26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57</v>
      </c>
      <c r="AR22" s="286" t="s">
        <v>16</v>
      </c>
      <c r="AS22" s="286">
        <v>19</v>
      </c>
      <c r="AT22" s="286" t="s">
        <v>295</v>
      </c>
      <c r="AV22" s="234">
        <f t="shared" si="21"/>
        <v>14</v>
      </c>
      <c r="AW22" s="234">
        <f>COUNTIF( AV$7:AV22, AV22 )</f>
        <v>7</v>
      </c>
      <c r="AX22" s="287">
        <f t="shared" si="22"/>
        <v>14.7</v>
      </c>
      <c r="AY22" s="234">
        <f t="shared" si="23"/>
        <v>20</v>
      </c>
      <c r="AZ22" s="236"/>
      <c r="BA22" s="236"/>
      <c r="BC22" s="234">
        <f t="shared" ca="1" si="24"/>
        <v>16</v>
      </c>
      <c r="BD22" s="288">
        <f t="shared" ca="1" si="6"/>
        <v>6</v>
      </c>
      <c r="BF22" s="240" t="str">
        <f t="shared" ca="1" si="7"/>
        <v>Berkshire Energy Holdings Company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**BRK</v>
      </c>
    </row>
    <row r="23" spans="1:61" ht="13.8" x14ac:dyDescent="0.25">
      <c r="A23" s="303" t="s">
        <v>30</v>
      </c>
      <c r="B23" s="304" t="s">
        <v>16</v>
      </c>
      <c r="C23" s="304">
        <v>19</v>
      </c>
      <c r="D23" s="304" t="s">
        <v>284</v>
      </c>
      <c r="E23" s="305" t="str">
        <f t="shared" ca="1" si="8"/>
        <v>R</v>
      </c>
      <c r="F23" s="306"/>
      <c r="G23" s="307">
        <f t="shared" ca="1" si="1"/>
        <v>14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34</v>
      </c>
      <c r="AR23" s="286" t="s">
        <v>28</v>
      </c>
      <c r="AS23" s="286">
        <v>18</v>
      </c>
      <c r="AT23" s="286" t="s">
        <v>293</v>
      </c>
      <c r="AV23" s="234">
        <f t="shared" si="21"/>
        <v>29</v>
      </c>
      <c r="AW23" s="234">
        <f>COUNTIF( AV$7:AV23, AV23 )</f>
        <v>5</v>
      </c>
      <c r="AX23" s="287">
        <f t="shared" si="22"/>
        <v>29.5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9</v>
      </c>
      <c r="BF23" s="240" t="str">
        <f t="shared" ca="1" si="7"/>
        <v>Cleco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CNL</v>
      </c>
    </row>
    <row r="24" spans="1:61" ht="13.8" x14ac:dyDescent="0.25">
      <c r="A24" s="303" t="s">
        <v>31</v>
      </c>
      <c r="B24" s="304" t="s">
        <v>16</v>
      </c>
      <c r="C24" s="304">
        <v>19</v>
      </c>
      <c r="D24" s="304" t="s">
        <v>288</v>
      </c>
      <c r="E24" s="305" t="str">
        <f t="shared" ca="1" si="8"/>
        <v>R</v>
      </c>
      <c r="F24" s="306"/>
      <c r="G24" s="307">
        <f t="shared" ca="1" si="1"/>
        <v>18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23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35</v>
      </c>
      <c r="AR24" s="286" t="s">
        <v>28</v>
      </c>
      <c r="AS24" s="286">
        <v>18</v>
      </c>
      <c r="AT24" s="289" t="s">
        <v>292</v>
      </c>
      <c r="AV24" s="234">
        <f t="shared" si="21"/>
        <v>29</v>
      </c>
      <c r="AW24" s="234">
        <f>COUNTIF( AV$7:AV24, AV24 )</f>
        <v>6</v>
      </c>
      <c r="AX24" s="287">
        <f t="shared" si="22"/>
        <v>29.6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14</v>
      </c>
      <c r="BF24" s="240" t="str">
        <f t="shared" ca="1" si="7"/>
        <v>DTE Energy Company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DTE</v>
      </c>
    </row>
    <row r="25" spans="1:61" ht="13.8" x14ac:dyDescent="0.25">
      <c r="A25" s="303" t="s">
        <v>32</v>
      </c>
      <c r="B25" s="304" t="s">
        <v>16</v>
      </c>
      <c r="C25" s="304">
        <v>19</v>
      </c>
      <c r="D25" s="304" t="s">
        <v>289</v>
      </c>
      <c r="E25" s="305" t="str">
        <f t="shared" ca="1" si="8"/>
        <v>R</v>
      </c>
      <c r="F25" s="306"/>
      <c r="G25" s="307">
        <f t="shared" ca="1" si="1"/>
        <v>19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24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28</v>
      </c>
      <c r="AS25" s="286">
        <v>18</v>
      </c>
      <c r="AT25" s="289" t="s">
        <v>296</v>
      </c>
      <c r="AV25" s="234">
        <f t="shared" si="21"/>
        <v>29</v>
      </c>
      <c r="AW25" s="234">
        <f>COUNTIF( AV$7:AV25, AV25 )</f>
        <v>7</v>
      </c>
      <c r="AX25" s="287">
        <f t="shared" si="22"/>
        <v>29.7</v>
      </c>
      <c r="AY25" s="234">
        <f t="shared" si="23"/>
        <v>35</v>
      </c>
      <c r="AZ25" s="236"/>
      <c r="BA25" s="236"/>
      <c r="BC25" s="234">
        <f t="shared" ca="1" si="24"/>
        <v>19</v>
      </c>
      <c r="BD25" s="288">
        <f t="shared" ca="1" si="6"/>
        <v>15</v>
      </c>
      <c r="BF25" s="240" t="str">
        <f t="shared" ca="1" si="7"/>
        <v>Duke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DUK</v>
      </c>
    </row>
    <row r="26" spans="1:61" ht="13.8" x14ac:dyDescent="0.25">
      <c r="A26" s="303" t="s">
        <v>57</v>
      </c>
      <c r="B26" s="304" t="s">
        <v>16</v>
      </c>
      <c r="C26" s="304">
        <v>19</v>
      </c>
      <c r="D26" s="304" t="s">
        <v>295</v>
      </c>
      <c r="E26" s="305" t="str">
        <f t="shared" ca="1" si="8"/>
        <v>R</v>
      </c>
      <c r="F26" s="306"/>
      <c r="G26" s="307">
        <f t="shared" ca="1" si="1"/>
        <v>20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8"/>
        <v/>
      </c>
      <c r="AJ26" s="236">
        <f t="shared" ca="1" si="19"/>
        <v>51</v>
      </c>
      <c r="AK26" s="236" t="str">
        <f t="shared" ca="1" si="20"/>
        <v>BBB-</v>
      </c>
      <c r="AL26" s="236">
        <f t="shared" ca="1" si="20"/>
        <v>17</v>
      </c>
      <c r="AM26" s="236" t="str">
        <f t="shared" ca="1" si="4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29</v>
      </c>
      <c r="AW26" s="234">
        <f>COUNTIF( AV$7:AV26, AV26 )</f>
        <v>8</v>
      </c>
      <c r="AX26" s="287">
        <f t="shared" si="22"/>
        <v>29.8</v>
      </c>
      <c r="AY26" s="234">
        <f t="shared" si="23"/>
        <v>36</v>
      </c>
      <c r="AZ26" s="236"/>
      <c r="BA26" s="236"/>
      <c r="BC26" s="234">
        <f t="shared" ca="1" si="24"/>
        <v>20</v>
      </c>
      <c r="BD26" s="288">
        <f t="shared" ca="1" si="6"/>
        <v>16</v>
      </c>
      <c r="BF26" s="240" t="str">
        <f t="shared" ca="1" si="7"/>
        <v>Edison International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EIX</v>
      </c>
    </row>
    <row r="27" spans="1:61" ht="13.8" x14ac:dyDescent="0.25">
      <c r="A27" s="303" t="s">
        <v>260</v>
      </c>
      <c r="B27" s="304" t="s">
        <v>16</v>
      </c>
      <c r="C27" s="304">
        <v>19</v>
      </c>
      <c r="D27" s="304" t="s">
        <v>300</v>
      </c>
      <c r="E27" s="305" t="str">
        <f t="shared" ca="1" si="8"/>
        <v>R</v>
      </c>
      <c r="F27" s="306"/>
      <c r="G27" s="307">
        <f t="shared" ca="1" si="1"/>
        <v>26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>
        <f t="shared" ca="1" si="3"/>
        <v>1</v>
      </c>
      <c r="AH27" s="236" t="str">
        <f t="shared" ca="1" si="18"/>
        <v/>
      </c>
      <c r="AJ27" s="236">
        <f t="shared" ca="1" si="19"/>
        <v>40</v>
      </c>
      <c r="AK27" s="236" t="str">
        <f t="shared" ca="1" si="20"/>
        <v>BBB</v>
      </c>
      <c r="AL27" s="236">
        <f t="shared" ca="1" si="20"/>
        <v>18</v>
      </c>
      <c r="AM27" s="236" t="str">
        <f t="shared" ca="1" si="4"/>
        <v>Change</v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46</v>
      </c>
      <c r="AW27" s="234">
        <f>COUNTIF( AV$7:AV27, AV27 )</f>
        <v>1</v>
      </c>
      <c r="AX27" s="287">
        <f t="shared" si="22"/>
        <v>46.1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6"/>
        <v>22</v>
      </c>
      <c r="BF27" s="240" t="str">
        <f t="shared" ca="1" si="7"/>
        <v>Great Plains Energy Inc.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GXP</v>
      </c>
    </row>
    <row r="28" spans="1:61" ht="13.8" x14ac:dyDescent="0.25">
      <c r="A28" s="303" t="s">
        <v>12</v>
      </c>
      <c r="B28" s="304" t="s">
        <v>16</v>
      </c>
      <c r="C28" s="304">
        <v>19</v>
      </c>
      <c r="D28" s="304" t="s">
        <v>308</v>
      </c>
      <c r="E28" s="305" t="str">
        <f t="shared" ca="1" si="8"/>
        <v>D</v>
      </c>
      <c r="F28" s="306"/>
      <c r="G28" s="307">
        <f t="shared" ca="1" si="1"/>
        <v>30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25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260</v>
      </c>
      <c r="AR28" s="286" t="s">
        <v>16</v>
      </c>
      <c r="AS28" s="286">
        <v>19</v>
      </c>
      <c r="AT28" s="286" t="s">
        <v>300</v>
      </c>
      <c r="AV28" s="234">
        <f t="shared" si="21"/>
        <v>14</v>
      </c>
      <c r="AW28" s="234">
        <f>COUNTIF( AV$7:AV28, AV28 )</f>
        <v>8</v>
      </c>
      <c r="AX28" s="287">
        <f t="shared" si="22"/>
        <v>14.8</v>
      </c>
      <c r="AY28" s="234">
        <f t="shared" si="23"/>
        <v>21</v>
      </c>
      <c r="AZ28" s="236"/>
      <c r="BA28" s="236"/>
      <c r="BC28" s="234">
        <f t="shared" ca="1" si="24"/>
        <v>22</v>
      </c>
      <c r="BD28" s="288">
        <f t="shared" ca="1" si="6"/>
        <v>28</v>
      </c>
      <c r="BF28" s="240" t="str">
        <f t="shared" ca="1" si="7"/>
        <v>MDU Resources Group, Inc.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MDU</v>
      </c>
    </row>
    <row r="29" spans="1:61" ht="13.8" x14ac:dyDescent="0.25">
      <c r="A29" s="303" t="s">
        <v>23</v>
      </c>
      <c r="B29" s="304" t="s">
        <v>16</v>
      </c>
      <c r="C29" s="304">
        <v>19</v>
      </c>
      <c r="D29" s="304" t="s">
        <v>322</v>
      </c>
      <c r="E29" s="305" t="str">
        <f t="shared" ca="1" si="8"/>
        <v>R</v>
      </c>
      <c r="F29" s="306"/>
      <c r="G29" s="307">
        <f t="shared" ca="1" si="1"/>
        <v>38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27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46</v>
      </c>
      <c r="AW29" s="234">
        <f>COUNTIF( AV$7:AV29, AV29 )</f>
        <v>2</v>
      </c>
      <c r="AX29" s="287">
        <f t="shared" si="22"/>
        <v>46.2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6"/>
        <v>35</v>
      </c>
      <c r="BF29" s="240" t="str">
        <f t="shared" ca="1" si="7"/>
        <v>Pepco Holdings, Inc.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POM</v>
      </c>
    </row>
    <row r="30" spans="1:61" ht="13.8" x14ac:dyDescent="0.25">
      <c r="A30" s="303" t="s">
        <v>45</v>
      </c>
      <c r="B30" s="304" t="s">
        <v>16</v>
      </c>
      <c r="C30" s="304">
        <v>19</v>
      </c>
      <c r="D30" s="304" t="s">
        <v>318</v>
      </c>
      <c r="E30" s="305" t="str">
        <f t="shared" ca="1" si="8"/>
        <v>MR</v>
      </c>
      <c r="F30" s="306"/>
      <c r="G30" s="307">
        <f t="shared" ca="1" si="1"/>
        <v>44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28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29</v>
      </c>
      <c r="AW30" s="234">
        <f>COUNTIF( AV$7:AV30, AV30 )</f>
        <v>9</v>
      </c>
      <c r="AX30" s="287">
        <f t="shared" si="22"/>
        <v>29.9</v>
      </c>
      <c r="AY30" s="234">
        <f t="shared" si="23"/>
        <v>37</v>
      </c>
      <c r="AZ30" s="236"/>
      <c r="BA30" s="236"/>
      <c r="BC30" s="234">
        <f t="shared" ca="1" si="24"/>
        <v>24</v>
      </c>
      <c r="BD30" s="288">
        <f t="shared" ca="1" si="6"/>
        <v>41</v>
      </c>
      <c r="BF30" s="240" t="str">
        <f t="shared" ca="1" si="7"/>
        <v>Public Service Enterprise Group Incorporated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PEG</v>
      </c>
    </row>
    <row r="31" spans="1:61" ht="13.8" x14ac:dyDescent="0.25">
      <c r="A31" s="303" t="s">
        <v>13</v>
      </c>
      <c r="B31" s="304" t="s">
        <v>16</v>
      </c>
      <c r="C31" s="304">
        <v>19</v>
      </c>
      <c r="D31" s="304" t="s">
        <v>326</v>
      </c>
      <c r="E31" s="305" t="str">
        <f t="shared" ca="1" si="8"/>
        <v>MR</v>
      </c>
      <c r="F31" s="306"/>
      <c r="G31" s="307">
        <f t="shared" ca="1" si="1"/>
        <v>45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29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29</v>
      </c>
      <c r="AW31" s="234">
        <f>COUNTIF( AV$7:AV31, AV31 )</f>
        <v>10</v>
      </c>
      <c r="AX31" s="287">
        <f t="shared" si="22"/>
        <v>30</v>
      </c>
      <c r="AY31" s="234">
        <f t="shared" si="23"/>
        <v>38</v>
      </c>
      <c r="AZ31" s="236"/>
      <c r="BA31" s="236"/>
      <c r="BC31" s="234">
        <f t="shared" ca="1" si="24"/>
        <v>25</v>
      </c>
      <c r="BD31" s="288">
        <f t="shared" ca="1" si="6"/>
        <v>43</v>
      </c>
      <c r="BF31" s="240" t="str">
        <f t="shared" ca="1" si="7"/>
        <v>SCANA Corporation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SCG</v>
      </c>
    </row>
    <row r="32" spans="1:61" ht="13.8" x14ac:dyDescent="0.25">
      <c r="A32" s="303" t="s">
        <v>25</v>
      </c>
      <c r="B32" s="304" t="s">
        <v>16</v>
      </c>
      <c r="C32" s="304">
        <v>19</v>
      </c>
      <c r="D32" s="304" t="s">
        <v>328</v>
      </c>
      <c r="E32" s="305" t="str">
        <f t="shared" ca="1" si="8"/>
        <v>MR</v>
      </c>
      <c r="F32" s="306"/>
      <c r="G32" s="307">
        <f t="shared" ca="1" si="1"/>
        <v>46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30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6"/>
        <v>44</v>
      </c>
      <c r="BF32" s="240" t="str">
        <f t="shared" ca="1" si="7"/>
        <v>Sempra Energy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SRE</v>
      </c>
    </row>
    <row r="33" spans="1:61" ht="13.8" x14ac:dyDescent="0.25">
      <c r="A33" s="303" t="s">
        <v>62</v>
      </c>
      <c r="B33" s="304" t="s">
        <v>16</v>
      </c>
      <c r="C33" s="304">
        <v>19</v>
      </c>
      <c r="D33" s="304" t="s">
        <v>329</v>
      </c>
      <c r="E33" s="305" t="str">
        <f t="shared" ca="1" si="8"/>
        <v>R</v>
      </c>
      <c r="F33" s="306"/>
      <c r="G33" s="307">
        <f t="shared" ca="1" si="1"/>
        <v>48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6"/>
        <v>46</v>
      </c>
      <c r="BF33" s="240" t="str">
        <f t="shared" ca="1" si="7"/>
        <v>TECO Energy,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TE</v>
      </c>
    </row>
    <row r="34" spans="1:61" ht="13.8" x14ac:dyDescent="0.25">
      <c r="A34" s="303" t="s">
        <v>59</v>
      </c>
      <c r="B34" s="304" t="s">
        <v>16</v>
      </c>
      <c r="C34" s="304">
        <v>19</v>
      </c>
      <c r="D34" s="304" t="s">
        <v>336</v>
      </c>
      <c r="E34" s="305" t="str">
        <f t="shared" ca="1" si="8"/>
        <v>R</v>
      </c>
      <c r="F34" s="306"/>
      <c r="G34" s="307">
        <f t="shared" ca="1" si="1"/>
        <v>53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>
        <f t="shared" ca="1" si="3"/>
        <v>1</v>
      </c>
      <c r="AH34" s="236" t="str">
        <f t="shared" ca="1" si="18"/>
        <v/>
      </c>
      <c r="AJ34" s="236">
        <f t="shared" ca="1" si="19"/>
        <v>50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4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9</v>
      </c>
      <c r="AX34" s="287">
        <f t="shared" si="22"/>
        <v>14.9</v>
      </c>
      <c r="AY34" s="234">
        <f t="shared" si="23"/>
        <v>22</v>
      </c>
      <c r="AZ34" s="236"/>
      <c r="BA34" s="236"/>
      <c r="BC34" s="234">
        <f t="shared" ca="1" si="24"/>
        <v>28</v>
      </c>
      <c r="BD34" s="288">
        <f t="shared" ca="1" si="6"/>
        <v>49</v>
      </c>
      <c r="BF34" s="240" t="str">
        <f t="shared" ca="1" si="7"/>
        <v>Westar Energy, Inc.</v>
      </c>
      <c r="BG34" s="240" t="str">
        <f t="shared" ca="1" si="7"/>
        <v>BBB+</v>
      </c>
      <c r="BH34" s="240">
        <f t="shared" ca="1" si="7"/>
        <v>19</v>
      </c>
      <c r="BI34" s="240" t="str">
        <f t="shared" ca="1" si="7"/>
        <v>WR</v>
      </c>
    </row>
    <row r="35" spans="1:61" ht="13.8" x14ac:dyDescent="0.25">
      <c r="A35" s="303" t="s">
        <v>258</v>
      </c>
      <c r="B35" s="304" t="s">
        <v>28</v>
      </c>
      <c r="C35" s="304">
        <v>18</v>
      </c>
      <c r="D35" s="304" t="s">
        <v>274</v>
      </c>
      <c r="E35" s="305" t="str">
        <f t="shared" ca="1" si="8"/>
        <v>R</v>
      </c>
      <c r="F35" s="306"/>
      <c r="G35" s="307">
        <f t="shared" ca="1" si="1"/>
        <v>10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32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4"/>
        <v/>
      </c>
      <c r="AQ35" s="286" t="s">
        <v>369</v>
      </c>
      <c r="AR35" s="286" t="s">
        <v>10</v>
      </c>
      <c r="AS35" s="286">
        <v>20</v>
      </c>
      <c r="AT35" s="286" t="s">
        <v>368</v>
      </c>
      <c r="AV35" s="234">
        <f t="shared" si="21"/>
        <v>2</v>
      </c>
      <c r="AW35" s="234">
        <f>COUNTIF( AV$7:AV35, AV35 )</f>
        <v>6</v>
      </c>
      <c r="AX35" s="287">
        <f t="shared" si="22"/>
        <v>2.6</v>
      </c>
      <c r="AY35" s="234">
        <f t="shared" si="23"/>
        <v>7</v>
      </c>
      <c r="AZ35" s="236"/>
      <c r="BA35" s="236"/>
      <c r="BC35" s="234">
        <f t="shared" ca="1" si="24"/>
        <v>29</v>
      </c>
      <c r="BD35" s="288">
        <f t="shared" ca="1" si="6"/>
        <v>4</v>
      </c>
      <c r="BF35" s="240" t="str">
        <f t="shared" ca="1" si="7"/>
        <v>American Electric Power Company, Inc.</v>
      </c>
      <c r="BG35" s="240" t="str">
        <f t="shared" ca="1" si="7"/>
        <v>BBB</v>
      </c>
      <c r="BH35" s="240">
        <f t="shared" ca="1" si="7"/>
        <v>18</v>
      </c>
      <c r="BI35" s="240" t="str">
        <f t="shared" ca="1" si="7"/>
        <v>AEP</v>
      </c>
    </row>
    <row r="36" spans="1:61" ht="13.8" x14ac:dyDescent="0.25">
      <c r="A36" s="303" t="s">
        <v>55</v>
      </c>
      <c r="B36" s="304" t="s">
        <v>28</v>
      </c>
      <c r="C36" s="304">
        <v>18</v>
      </c>
      <c r="D36" s="304" t="s">
        <v>277</v>
      </c>
      <c r="E36" s="305" t="str">
        <f t="shared" ca="1" si="8"/>
        <v>R</v>
      </c>
      <c r="F36" s="306"/>
      <c r="G36" s="307">
        <f t="shared" ca="1" si="1"/>
        <v>11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33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4"/>
        <v/>
      </c>
      <c r="AQ36" s="286" t="s">
        <v>40</v>
      </c>
      <c r="AR36" s="286" t="s">
        <v>49</v>
      </c>
      <c r="AS36" s="286">
        <v>17</v>
      </c>
      <c r="AT36" s="286" t="s">
        <v>310</v>
      </c>
      <c r="AV36" s="234">
        <f t="shared" si="21"/>
        <v>46</v>
      </c>
      <c r="AW36" s="234">
        <f>COUNTIF( AV$7:AV36, AV36 )</f>
        <v>3</v>
      </c>
      <c r="AX36" s="287">
        <f t="shared" si="22"/>
        <v>46.3</v>
      </c>
      <c r="AY36" s="234">
        <f t="shared" si="23"/>
        <v>48</v>
      </c>
      <c r="AZ36" s="236"/>
      <c r="BA36" s="236"/>
      <c r="BC36" s="234">
        <f t="shared" ca="1" si="24"/>
        <v>30</v>
      </c>
      <c r="BD36" s="288">
        <f t="shared" ca="1" si="6"/>
        <v>5</v>
      </c>
      <c r="BF36" s="240" t="str">
        <f t="shared" ca="1" si="7"/>
        <v>Avista Corporation</v>
      </c>
      <c r="BG36" s="240" t="str">
        <f t="shared" ca="1" si="7"/>
        <v>BBB</v>
      </c>
      <c r="BH36" s="240">
        <f t="shared" ca="1" si="7"/>
        <v>18</v>
      </c>
      <c r="BI36" s="240" t="str">
        <f t="shared" ca="1" si="7"/>
        <v>AVA</v>
      </c>
    </row>
    <row r="37" spans="1:61" ht="13.8" x14ac:dyDescent="0.25">
      <c r="A37" s="303" t="s">
        <v>48</v>
      </c>
      <c r="B37" s="304" t="s">
        <v>28</v>
      </c>
      <c r="C37" s="304">
        <v>18</v>
      </c>
      <c r="D37" s="304" t="s">
        <v>279</v>
      </c>
      <c r="E37" s="305" t="str">
        <f t="shared" ca="1" si="8"/>
        <v>R</v>
      </c>
      <c r="F37" s="306"/>
      <c r="G37" s="307">
        <f t="shared" ca="1" si="1"/>
        <v>12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34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4"/>
        <v/>
      </c>
      <c r="AQ37" s="286" t="s">
        <v>512</v>
      </c>
      <c r="AR37" s="286" t="s">
        <v>10</v>
      </c>
      <c r="AS37" s="286">
        <v>20</v>
      </c>
      <c r="AT37" s="286" t="s">
        <v>511</v>
      </c>
      <c r="AV37" s="234">
        <f t="shared" si="21"/>
        <v>2</v>
      </c>
      <c r="AW37" s="234">
        <f>COUNTIF( AV$7:AV37, AV37 )</f>
        <v>7</v>
      </c>
      <c r="AX37" s="287">
        <f t="shared" si="22"/>
        <v>2.7</v>
      </c>
      <c r="AY37" s="234">
        <f t="shared" si="23"/>
        <v>8</v>
      </c>
      <c r="AZ37" s="236"/>
      <c r="BA37" s="236"/>
      <c r="BC37" s="234">
        <f t="shared" ca="1" si="24"/>
        <v>31</v>
      </c>
      <c r="BD37" s="288">
        <f t="shared" ca="1" si="6"/>
        <v>7</v>
      </c>
      <c r="BF37" s="240" t="str">
        <f t="shared" ca="1" si="7"/>
        <v>Black Hills Corporation</v>
      </c>
      <c r="BG37" s="240" t="str">
        <f t="shared" ca="1" si="7"/>
        <v>BBB</v>
      </c>
      <c r="BH37" s="240">
        <f t="shared" ca="1" si="7"/>
        <v>18</v>
      </c>
      <c r="BI37" s="240" t="str">
        <f t="shared" ca="1" si="7"/>
        <v>BKH</v>
      </c>
    </row>
    <row r="38" spans="1:61" ht="13.8" x14ac:dyDescent="0.25">
      <c r="A38" s="303" t="s">
        <v>60</v>
      </c>
      <c r="B38" s="304" t="s">
        <v>28</v>
      </c>
      <c r="C38" s="304">
        <v>18</v>
      </c>
      <c r="D38" s="304" t="s">
        <v>283</v>
      </c>
      <c r="E38" s="305" t="str">
        <f t="shared" ca="1" si="8"/>
        <v>R</v>
      </c>
      <c r="F38" s="306"/>
      <c r="G38" s="307">
        <f t="shared" ca="1" si="1"/>
        <v>15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35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66</v>
      </c>
      <c r="AR38" s="286" t="s">
        <v>28</v>
      </c>
      <c r="AS38" s="286">
        <v>18</v>
      </c>
      <c r="AT38" s="286" t="s">
        <v>314</v>
      </c>
      <c r="AV38" s="234">
        <f t="shared" si="21"/>
        <v>29</v>
      </c>
      <c r="AW38" s="234">
        <f>COUNTIF( AV$7:AV38, AV38 )</f>
        <v>11</v>
      </c>
      <c r="AX38" s="287">
        <f t="shared" si="22"/>
        <v>30.1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10</v>
      </c>
      <c r="BF38" s="240" t="str">
        <f t="shared" ca="1" si="7"/>
        <v>CMS Energy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CMS</v>
      </c>
    </row>
    <row r="39" spans="1:61" ht="13.8" x14ac:dyDescent="0.25">
      <c r="A39" s="303" t="s">
        <v>34</v>
      </c>
      <c r="B39" s="304" t="s">
        <v>28</v>
      </c>
      <c r="C39" s="304">
        <v>18</v>
      </c>
      <c r="D39" s="304" t="s">
        <v>293</v>
      </c>
      <c r="E39" s="305" t="str">
        <f t="shared" ca="1" si="8"/>
        <v>R</v>
      </c>
      <c r="F39" s="306"/>
      <c r="G39" s="307">
        <f t="shared" ca="1" si="1"/>
        <v>21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36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21</v>
      </c>
      <c r="AR39" s="286" t="s">
        <v>10</v>
      </c>
      <c r="AS39" s="286">
        <v>20</v>
      </c>
      <c r="AT39" s="286" t="s">
        <v>315</v>
      </c>
      <c r="AV39" s="234">
        <f t="shared" si="21"/>
        <v>2</v>
      </c>
      <c r="AW39" s="234">
        <f>COUNTIF( AV$7:AV39, AV39 )</f>
        <v>8</v>
      </c>
      <c r="AX39" s="287">
        <f t="shared" si="22"/>
        <v>2.8</v>
      </c>
      <c r="AY39" s="234">
        <f t="shared" si="23"/>
        <v>9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El Paso Electric Company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EE</v>
      </c>
    </row>
    <row r="40" spans="1:61" ht="13.8" x14ac:dyDescent="0.25">
      <c r="A40" s="303" t="s">
        <v>35</v>
      </c>
      <c r="B40" s="304" t="s">
        <v>28</v>
      </c>
      <c r="C40" s="304">
        <v>18</v>
      </c>
      <c r="D40" s="304" t="s">
        <v>292</v>
      </c>
      <c r="E40" s="305" t="str">
        <f t="shared" ca="1" si="8"/>
        <v>R</v>
      </c>
      <c r="F40" s="306"/>
      <c r="G40" s="307">
        <f t="shared" ca="1" si="1"/>
        <v>22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22</v>
      </c>
      <c r="AR40" s="286" t="s">
        <v>28</v>
      </c>
      <c r="AS40" s="286">
        <v>18</v>
      </c>
      <c r="AT40" s="286" t="s">
        <v>316</v>
      </c>
      <c r="AV40" s="234">
        <f t="shared" si="21"/>
        <v>29</v>
      </c>
      <c r="AW40" s="234">
        <f>COUNTIF( AV$7:AV40, AV40 )</f>
        <v>12</v>
      </c>
      <c r="AX40" s="287">
        <f t="shared" si="22"/>
        <v>30.2</v>
      </c>
      <c r="AY40" s="234">
        <f t="shared" si="23"/>
        <v>40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Empire District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EDE</v>
      </c>
    </row>
    <row r="41" spans="1:61" ht="13.8" x14ac:dyDescent="0.25">
      <c r="A41" s="303" t="s">
        <v>36</v>
      </c>
      <c r="B41" s="304" t="s">
        <v>28</v>
      </c>
      <c r="C41" s="304">
        <v>18</v>
      </c>
      <c r="D41" s="304" t="s">
        <v>296</v>
      </c>
      <c r="E41" s="305" t="str">
        <f t="shared" ca="1" si="8"/>
        <v>R</v>
      </c>
      <c r="F41" s="306"/>
      <c r="G41" s="307">
        <f t="shared" ca="1" si="1"/>
        <v>23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23</v>
      </c>
      <c r="AR41" s="286" t="s">
        <v>16</v>
      </c>
      <c r="AS41" s="286">
        <v>19</v>
      </c>
      <c r="AT41" s="286" t="s">
        <v>322</v>
      </c>
      <c r="AV41" s="234">
        <f t="shared" si="21"/>
        <v>14</v>
      </c>
      <c r="AW41" s="234">
        <f>COUNTIF( AV$7:AV41, AV41 )</f>
        <v>10</v>
      </c>
      <c r="AX41" s="287">
        <f t="shared" si="22"/>
        <v>15</v>
      </c>
      <c r="AY41" s="234">
        <f t="shared" si="23"/>
        <v>23</v>
      </c>
      <c r="AZ41" s="236"/>
      <c r="BA41" s="236"/>
      <c r="BC41" s="234">
        <f t="shared" ca="1" si="24"/>
        <v>35</v>
      </c>
      <c r="BD41" s="288">
        <f t="shared" ca="1" si="6"/>
        <v>19</v>
      </c>
      <c r="BF41" s="240" t="str">
        <f t="shared" ca="1" si="25"/>
        <v>Entergy Corporation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ETR</v>
      </c>
    </row>
    <row r="42" spans="1:61" ht="13.8" x14ac:dyDescent="0.25">
      <c r="A42" s="303" t="s">
        <v>11</v>
      </c>
      <c r="B42" s="304" t="s">
        <v>28</v>
      </c>
      <c r="C42" s="304">
        <v>18</v>
      </c>
      <c r="D42" s="304" t="s">
        <v>297</v>
      </c>
      <c r="E42" s="305" t="str">
        <f t="shared" ca="1" si="8"/>
        <v>MR</v>
      </c>
      <c r="F42" s="306"/>
      <c r="G42" s="307">
        <f t="shared" ca="1" si="1"/>
        <v>24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53</v>
      </c>
      <c r="AR42" s="286" t="s">
        <v>28</v>
      </c>
      <c r="AS42" s="286">
        <v>18</v>
      </c>
      <c r="AT42" s="286" t="s">
        <v>317</v>
      </c>
      <c r="AV42" s="234">
        <f t="shared" si="21"/>
        <v>29</v>
      </c>
      <c r="AW42" s="234">
        <f>COUNTIF( AV$7:AV42, AV42 )</f>
        <v>13</v>
      </c>
      <c r="AX42" s="287">
        <f t="shared" si="22"/>
        <v>30.3</v>
      </c>
      <c r="AY42" s="234">
        <f t="shared" si="23"/>
        <v>41</v>
      </c>
      <c r="AZ42" s="236"/>
      <c r="BA42" s="236"/>
      <c r="BC42" s="234">
        <f t="shared" ca="1" si="24"/>
        <v>36</v>
      </c>
      <c r="BD42" s="288">
        <f t="shared" ca="1" si="6"/>
        <v>20</v>
      </c>
      <c r="BF42" s="240" t="str">
        <f t="shared" ca="1" si="25"/>
        <v>Exelon Corporation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EXC</v>
      </c>
    </row>
    <row r="43" spans="1:61" ht="13.8" x14ac:dyDescent="0.25">
      <c r="A43" s="303" t="s">
        <v>451</v>
      </c>
      <c r="B43" s="304" t="s">
        <v>28</v>
      </c>
      <c r="C43" s="304">
        <v>18</v>
      </c>
      <c r="D43" s="304" t="s">
        <v>443</v>
      </c>
      <c r="E43" s="305" t="str">
        <f t="shared" ca="1" si="8"/>
        <v>R</v>
      </c>
      <c r="F43" s="306"/>
      <c r="G43" s="307">
        <f t="shared" ca="1" si="1"/>
        <v>57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41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41</v>
      </c>
      <c r="AR43" s="286" t="s">
        <v>10</v>
      </c>
      <c r="AS43" s="286">
        <v>20</v>
      </c>
      <c r="AT43" s="289" t="s">
        <v>321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24</v>
      </c>
      <c r="BF43" s="240" t="str">
        <f t="shared" ca="1" si="25"/>
        <v>Iberdrola USA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**EAST</v>
      </c>
    </row>
    <row r="44" spans="1:61" ht="13.8" x14ac:dyDescent="0.25">
      <c r="A44" s="303" t="s">
        <v>20</v>
      </c>
      <c r="B44" s="304" t="s">
        <v>28</v>
      </c>
      <c r="C44" s="304">
        <v>18</v>
      </c>
      <c r="D44" s="304" t="s">
        <v>302</v>
      </c>
      <c r="E44" s="305" t="str">
        <f t="shared" ca="1" si="8"/>
        <v>R</v>
      </c>
      <c r="F44" s="306"/>
      <c r="G44" s="307">
        <f t="shared" ca="1" si="1"/>
        <v>28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42</v>
      </c>
      <c r="AR44" s="286" t="s">
        <v>28</v>
      </c>
      <c r="AS44" s="286">
        <v>18</v>
      </c>
      <c r="AT44" s="286" t="s">
        <v>320</v>
      </c>
      <c r="AV44" s="234">
        <f t="shared" si="21"/>
        <v>29</v>
      </c>
      <c r="AW44" s="234">
        <f>COUNTIF( AV$7:AV44, AV44 )</f>
        <v>14</v>
      </c>
      <c r="AX44" s="287">
        <f t="shared" si="22"/>
        <v>30.4</v>
      </c>
      <c r="AY44" s="234">
        <f t="shared" si="23"/>
        <v>42</v>
      </c>
      <c r="AZ44" s="236"/>
      <c r="BA44" s="236"/>
      <c r="BC44" s="234">
        <f t="shared" ca="1" si="24"/>
        <v>38</v>
      </c>
      <c r="BD44" s="288">
        <f t="shared" ca="1" si="6"/>
        <v>25</v>
      </c>
      <c r="BF44" s="240" t="str">
        <f t="shared" ca="1" si="25"/>
        <v>IDACORP, Inc.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IDA</v>
      </c>
    </row>
    <row r="45" spans="1:61" ht="13.8" x14ac:dyDescent="0.25">
      <c r="A45" s="303" t="s">
        <v>66</v>
      </c>
      <c r="B45" s="304" t="s">
        <v>28</v>
      </c>
      <c r="C45" s="304">
        <v>18</v>
      </c>
      <c r="D45" s="304" t="s">
        <v>314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43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24</v>
      </c>
      <c r="AR45" s="286" t="s">
        <v>28</v>
      </c>
      <c r="AS45" s="286">
        <v>18</v>
      </c>
      <c r="AT45" s="286" t="s">
        <v>323</v>
      </c>
      <c r="AV45" s="234">
        <f t="shared" si="21"/>
        <v>29</v>
      </c>
      <c r="AW45" s="234">
        <f>COUNTIF( AV$7:AV45, AV45 )</f>
        <v>15</v>
      </c>
      <c r="AX45" s="287">
        <f t="shared" si="22"/>
        <v>30.5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NorthWestern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NWE</v>
      </c>
    </row>
    <row r="46" spans="1:61" ht="13.8" x14ac:dyDescent="0.25">
      <c r="A46" s="303" t="s">
        <v>22</v>
      </c>
      <c r="B46" s="304" t="s">
        <v>28</v>
      </c>
      <c r="C46" s="304">
        <v>18</v>
      </c>
      <c r="D46" s="304" t="s">
        <v>316</v>
      </c>
      <c r="E46" s="305" t="str">
        <f t="shared" ca="1" si="8"/>
        <v>R</v>
      </c>
      <c r="F46" s="306"/>
      <c r="G46" s="307">
        <f t="shared" ca="1" si="1"/>
        <v>37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44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4"/>
        <v/>
      </c>
      <c r="AQ46" s="286" t="s">
        <v>43</v>
      </c>
      <c r="AR46" s="286" t="s">
        <v>28</v>
      </c>
      <c r="AS46" s="286">
        <v>18</v>
      </c>
      <c r="AT46" s="286" t="s">
        <v>324</v>
      </c>
      <c r="AV46" s="234">
        <f t="shared" si="21"/>
        <v>29</v>
      </c>
      <c r="AW46" s="234">
        <f>COUNTIF( AV$7:AV46, AV46 )</f>
        <v>16</v>
      </c>
      <c r="AX46" s="287">
        <f t="shared" si="22"/>
        <v>30.6</v>
      </c>
      <c r="AY46" s="234">
        <f t="shared" si="23"/>
        <v>44</v>
      </c>
      <c r="AZ46" s="236"/>
      <c r="BA46" s="236"/>
      <c r="BC46" s="234">
        <f t="shared" ca="1" si="24"/>
        <v>40</v>
      </c>
      <c r="BD46" s="288">
        <f t="shared" ca="1" si="6"/>
        <v>34</v>
      </c>
      <c r="BF46" s="240" t="str">
        <f t="shared" ca="1" si="25"/>
        <v>Otter Tail Corporation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OTTR</v>
      </c>
    </row>
    <row r="47" spans="1:61" ht="13.8" x14ac:dyDescent="0.25">
      <c r="A47" s="303" t="s">
        <v>53</v>
      </c>
      <c r="B47" s="304" t="s">
        <v>28</v>
      </c>
      <c r="C47" s="304">
        <v>18</v>
      </c>
      <c r="D47" s="304" t="s">
        <v>317</v>
      </c>
      <c r="E47" s="305" t="str">
        <f t="shared" ca="1" si="8"/>
        <v>R</v>
      </c>
      <c r="F47" s="306"/>
      <c r="G47" s="307">
        <f t="shared" ca="1" si="1"/>
        <v>39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45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4"/>
        <v/>
      </c>
      <c r="AQ47" s="286" t="s">
        <v>45</v>
      </c>
      <c r="AR47" s="286" t="s">
        <v>16</v>
      </c>
      <c r="AS47" s="286">
        <v>19</v>
      </c>
      <c r="AT47" s="286" t="s">
        <v>318</v>
      </c>
      <c r="AV47" s="234">
        <f t="shared" si="21"/>
        <v>14</v>
      </c>
      <c r="AW47" s="234">
        <f>COUNTIF( AV$7:AV47, AV47 )</f>
        <v>11</v>
      </c>
      <c r="AX47" s="287">
        <f t="shared" si="22"/>
        <v>15.1</v>
      </c>
      <c r="AY47" s="234">
        <f t="shared" si="23"/>
        <v>24</v>
      </c>
      <c r="AZ47" s="236"/>
      <c r="BA47" s="236"/>
      <c r="BC47" s="234">
        <f t="shared" ca="1" si="24"/>
        <v>41</v>
      </c>
      <c r="BD47" s="288">
        <f t="shared" ca="1" si="6"/>
        <v>36</v>
      </c>
      <c r="BF47" s="240" t="str">
        <f t="shared" ca="1" si="25"/>
        <v>PG&amp;E Corporation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PCG</v>
      </c>
    </row>
    <row r="48" spans="1:61" ht="13.8" x14ac:dyDescent="0.25">
      <c r="A48" s="303" t="s">
        <v>42</v>
      </c>
      <c r="B48" s="304" t="s">
        <v>28</v>
      </c>
      <c r="C48" s="304">
        <v>18</v>
      </c>
      <c r="D48" s="304" t="s">
        <v>320</v>
      </c>
      <c r="E48" s="305" t="str">
        <f t="shared" ca="1" si="8"/>
        <v>R</v>
      </c>
      <c r="F48" s="306"/>
      <c r="G48" s="307">
        <f t="shared" ca="1" si="1"/>
        <v>41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4"/>
        <v/>
      </c>
      <c r="AQ48" s="286" t="s">
        <v>54</v>
      </c>
      <c r="AR48" s="286" t="s">
        <v>49</v>
      </c>
      <c r="AS48" s="286">
        <v>17</v>
      </c>
      <c r="AT48" s="286" t="s">
        <v>448</v>
      </c>
      <c r="AV48" s="234">
        <f t="shared" si="21"/>
        <v>46</v>
      </c>
      <c r="AW48" s="234">
        <f>COUNTIF( AV$7:AV48, AV48 )</f>
        <v>4</v>
      </c>
      <c r="AX48" s="287">
        <f t="shared" si="22"/>
        <v>46.4</v>
      </c>
      <c r="AY48" s="234">
        <f t="shared" si="23"/>
        <v>49</v>
      </c>
      <c r="AZ48" s="236"/>
      <c r="BA48" s="236"/>
      <c r="BC48" s="234">
        <f t="shared" ca="1" si="24"/>
        <v>42</v>
      </c>
      <c r="BD48" s="288">
        <f t="shared" ca="1" si="6"/>
        <v>38</v>
      </c>
      <c r="BF48" s="240" t="str">
        <f t="shared" ca="1" si="25"/>
        <v>PNM Resources, Inc.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PNM</v>
      </c>
    </row>
    <row r="49" spans="1:61" ht="13.8" x14ac:dyDescent="0.25">
      <c r="A49" s="303" t="s">
        <v>24</v>
      </c>
      <c r="B49" s="304" t="s">
        <v>28</v>
      </c>
      <c r="C49" s="304">
        <v>18</v>
      </c>
      <c r="D49" s="304" t="s">
        <v>323</v>
      </c>
      <c r="E49" s="305" t="str">
        <f t="shared" ca="1" si="8"/>
        <v>R</v>
      </c>
      <c r="F49" s="306"/>
      <c r="G49" s="307">
        <f t="shared" ca="1" si="1"/>
        <v>42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4"/>
        <v/>
      </c>
      <c r="AQ49" s="286" t="s">
        <v>13</v>
      </c>
      <c r="AR49" s="286" t="s">
        <v>16</v>
      </c>
      <c r="AS49" s="286">
        <v>19</v>
      </c>
      <c r="AT49" s="286" t="s">
        <v>326</v>
      </c>
      <c r="AV49" s="234">
        <f t="shared" si="21"/>
        <v>14</v>
      </c>
      <c r="AW49" s="234">
        <f>COUNTIF( AV$7:AV49, AV49 )</f>
        <v>12</v>
      </c>
      <c r="AX49" s="287">
        <f t="shared" si="22"/>
        <v>15.2</v>
      </c>
      <c r="AY49" s="234">
        <f t="shared" si="23"/>
        <v>25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Portland General Electric Company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POR</v>
      </c>
    </row>
    <row r="50" spans="1:61" ht="13.8" x14ac:dyDescent="0.25">
      <c r="A50" s="303" t="s">
        <v>43</v>
      </c>
      <c r="B50" s="304" t="s">
        <v>28</v>
      </c>
      <c r="C50" s="304">
        <v>18</v>
      </c>
      <c r="D50" s="304" t="s">
        <v>324</v>
      </c>
      <c r="E50" s="305" t="str">
        <f t="shared" ca="1" si="8"/>
        <v>MR</v>
      </c>
      <c r="F50" s="306"/>
      <c r="G50" s="307">
        <f t="shared" ca="1" si="1"/>
        <v>43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48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4"/>
        <v/>
      </c>
      <c r="AQ50" s="286" t="s">
        <v>25</v>
      </c>
      <c r="AR50" s="286" t="s">
        <v>16</v>
      </c>
      <c r="AS50" s="286">
        <v>19</v>
      </c>
      <c r="AT50" s="286" t="s">
        <v>328</v>
      </c>
      <c r="AV50" s="234">
        <f t="shared" si="21"/>
        <v>14</v>
      </c>
      <c r="AW50" s="234">
        <f>COUNTIF( AV$7:AV50, AV50 )</f>
        <v>13</v>
      </c>
      <c r="AX50" s="287">
        <f t="shared" si="22"/>
        <v>15.3</v>
      </c>
      <c r="AY50" s="234">
        <f t="shared" si="23"/>
        <v>26</v>
      </c>
      <c r="AZ50" s="236"/>
      <c r="BA50" s="236"/>
      <c r="BC50" s="234">
        <f t="shared" ca="1" si="24"/>
        <v>44</v>
      </c>
      <c r="BD50" s="288">
        <f t="shared" ca="1" si="6"/>
        <v>40</v>
      </c>
      <c r="BF50" s="240" t="str">
        <f t="shared" ca="1" si="25"/>
        <v>PPL Corporation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PPL</v>
      </c>
    </row>
    <row r="51" spans="1:61" ht="13.8" x14ac:dyDescent="0.25">
      <c r="A51" s="303" t="s">
        <v>75</v>
      </c>
      <c r="B51" s="304" t="s">
        <v>28</v>
      </c>
      <c r="C51" s="304">
        <v>18</v>
      </c>
      <c r="D51" s="304" t="s">
        <v>331</v>
      </c>
      <c r="E51" s="305" t="str">
        <f t="shared" ca="1" si="8"/>
        <v>R</v>
      </c>
      <c r="F51" s="306"/>
      <c r="G51" s="307">
        <f t="shared" ca="1" si="1"/>
        <v>49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8"/>
        <v/>
      </c>
      <c r="AJ51" s="236">
        <f t="shared" ca="1" si="19"/>
        <v>49</v>
      </c>
      <c r="AK51" s="236" t="str">
        <f t="shared" ca="1" si="20"/>
        <v>BBB</v>
      </c>
      <c r="AL51" s="236">
        <f t="shared" ca="1" si="20"/>
        <v>18</v>
      </c>
      <c r="AM51" s="236" t="str">
        <f t="shared" ca="1" si="4"/>
        <v/>
      </c>
      <c r="AQ51" s="286" t="s">
        <v>7</v>
      </c>
      <c r="AR51" s="286" t="s">
        <v>2</v>
      </c>
      <c r="AS51" s="286">
        <v>21</v>
      </c>
      <c r="AT51" s="286" t="s">
        <v>327</v>
      </c>
      <c r="AV51" s="234">
        <f t="shared" si="21"/>
        <v>1</v>
      </c>
      <c r="AW51" s="234">
        <f>COUNTIF( AV$7:AV51, AV51 )</f>
        <v>1</v>
      </c>
      <c r="AX51" s="287">
        <f t="shared" si="22"/>
        <v>1.1000000000000001</v>
      </c>
      <c r="AY51" s="234">
        <f t="shared" si="23"/>
        <v>1</v>
      </c>
      <c r="AZ51" s="236"/>
      <c r="BA51" s="236"/>
      <c r="BC51" s="234">
        <f t="shared" ca="1" si="24"/>
        <v>45</v>
      </c>
      <c r="BD51" s="288">
        <f t="shared" ca="1" si="6"/>
        <v>47</v>
      </c>
      <c r="BF51" s="240" t="str">
        <f t="shared" ca="1" si="25"/>
        <v>UIL Holdings Corporation</v>
      </c>
      <c r="BG51" s="240" t="str">
        <f t="shared" ca="1" si="25"/>
        <v>BBB</v>
      </c>
      <c r="BH51" s="240">
        <f t="shared" ca="1" si="25"/>
        <v>18</v>
      </c>
      <c r="BI51" s="240" t="str">
        <f t="shared" ca="1" si="25"/>
        <v>UIL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8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19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4"/>
        <v/>
      </c>
      <c r="AQ52" s="286" t="s">
        <v>62</v>
      </c>
      <c r="AR52" s="286" t="s">
        <v>16</v>
      </c>
      <c r="AS52" s="286">
        <v>19</v>
      </c>
      <c r="AT52" s="286" t="s">
        <v>329</v>
      </c>
      <c r="AV52" s="234">
        <f t="shared" si="21"/>
        <v>14</v>
      </c>
      <c r="AW52" s="234">
        <f>COUNTIF( AV$7:AV52, AV52 )</f>
        <v>14</v>
      </c>
      <c r="AX52" s="287">
        <f t="shared" si="22"/>
        <v>15.4</v>
      </c>
      <c r="AY52" s="234">
        <f t="shared" si="23"/>
        <v>27</v>
      </c>
      <c r="AZ52" s="236"/>
      <c r="BA52" s="236"/>
      <c r="BC52" s="234">
        <f t="shared" ca="1" si="24"/>
        <v>46</v>
      </c>
      <c r="BD52" s="288">
        <f t="shared" ca="1" si="6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8"/>
        <v>D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19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4"/>
        <v/>
      </c>
      <c r="AQ53" s="286" t="s">
        <v>75</v>
      </c>
      <c r="AR53" s="286" t="s">
        <v>28</v>
      </c>
      <c r="AS53" s="286">
        <v>18</v>
      </c>
      <c r="AT53" s="286" t="s">
        <v>331</v>
      </c>
      <c r="AV53" s="234">
        <f t="shared" si="21"/>
        <v>29</v>
      </c>
      <c r="AW53" s="234">
        <f>COUNTIF( AV$7:AV53, AV53 )</f>
        <v>17</v>
      </c>
      <c r="AX53" s="287">
        <f t="shared" si="22"/>
        <v>30.7</v>
      </c>
      <c r="AY53" s="234">
        <f t="shared" si="23"/>
        <v>45</v>
      </c>
      <c r="AZ53" s="236"/>
      <c r="BA53" s="236"/>
      <c r="BC53" s="234">
        <f t="shared" ca="1" si="24"/>
        <v>47</v>
      </c>
      <c r="BD53" s="288">
        <f t="shared" ca="1" si="6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8"/>
        <v>MR</v>
      </c>
      <c r="F54" s="306"/>
      <c r="G54" s="307">
        <f t="shared" ca="1" si="1"/>
        <v>33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19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4"/>
        <v/>
      </c>
      <c r="AQ54" s="286" t="s">
        <v>14</v>
      </c>
      <c r="AR54" s="286" t="s">
        <v>10</v>
      </c>
      <c r="AS54" s="286">
        <v>20</v>
      </c>
      <c r="AT54" s="286" t="s">
        <v>334</v>
      </c>
      <c r="AV54" s="234">
        <f t="shared" si="21"/>
        <v>2</v>
      </c>
      <c r="AW54" s="234">
        <f>COUNTIF( AV$7:AV54, AV54 )</f>
        <v>10</v>
      </c>
      <c r="AX54" s="287">
        <f t="shared" si="22"/>
        <v>3</v>
      </c>
      <c r="AY54" s="234">
        <f t="shared" si="23"/>
        <v>11</v>
      </c>
      <c r="AZ54" s="236"/>
      <c r="BA54" s="236"/>
      <c r="BC54" s="234">
        <f t="shared" ca="1" si="24"/>
        <v>48</v>
      </c>
      <c r="BD54" s="288">
        <f t="shared" ca="1" si="6"/>
        <v>30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8"/>
        <v>R</v>
      </c>
      <c r="F55" s="306"/>
      <c r="G55" s="307">
        <f t="shared" ca="1" si="1"/>
        <v>62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19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4"/>
        <v/>
      </c>
      <c r="AQ55" s="286" t="s">
        <v>59</v>
      </c>
      <c r="AR55" s="286" t="s">
        <v>16</v>
      </c>
      <c r="AS55" s="286">
        <v>19</v>
      </c>
      <c r="AT55" s="286" t="s">
        <v>336</v>
      </c>
      <c r="AV55" s="234">
        <f t="shared" si="21"/>
        <v>14</v>
      </c>
      <c r="AW55" s="234">
        <f>COUNTIF( AV$7:AV55, AV55 )</f>
        <v>15</v>
      </c>
      <c r="AX55" s="287">
        <f t="shared" si="22"/>
        <v>15.5</v>
      </c>
      <c r="AY55" s="234">
        <f t="shared" si="23"/>
        <v>28</v>
      </c>
      <c r="AZ55" s="236"/>
      <c r="BA55" s="236"/>
      <c r="BC55" s="234">
        <f t="shared" ca="1" si="24"/>
        <v>49</v>
      </c>
      <c r="BD55" s="288">
        <f t="shared" ca="1" si="6"/>
        <v>42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8"/>
        <v>R</v>
      </c>
      <c r="F56" s="306"/>
      <c r="G56" s="307">
        <f t="shared" ca="1" si="1"/>
        <v>60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8"/>
        <v/>
      </c>
      <c r="AJ56" s="236">
        <f t="shared" ca="1" si="19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4"/>
        <v/>
      </c>
      <c r="AQ56" s="286" t="s">
        <v>26</v>
      </c>
      <c r="AR56" s="286" t="s">
        <v>10</v>
      </c>
      <c r="AS56" s="286">
        <v>20</v>
      </c>
      <c r="AT56" s="286" t="s">
        <v>335</v>
      </c>
      <c r="AV56" s="234">
        <f t="shared" si="21"/>
        <v>2</v>
      </c>
      <c r="AW56" s="234">
        <f>COUNTIF( AV$7:AV56, AV56 )</f>
        <v>11</v>
      </c>
      <c r="AX56" s="287">
        <f t="shared" si="22"/>
        <v>3.1</v>
      </c>
      <c r="AY56" s="234">
        <f t="shared" si="23"/>
        <v>12</v>
      </c>
      <c r="AZ56" s="236"/>
      <c r="BA56" s="236"/>
      <c r="BC56" s="234">
        <f t="shared" ca="1" si="24"/>
        <v>50</v>
      </c>
      <c r="BD56" s="288">
        <f t="shared" ca="1" si="6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8"/>
        <v>R</v>
      </c>
      <c r="F57" s="306"/>
      <c r="G57" s="307">
        <f t="shared" ca="1" si="1"/>
        <v>58</v>
      </c>
      <c r="H57" s="250"/>
      <c r="I57" s="250"/>
      <c r="J57" s="262"/>
      <c r="K57" s="262"/>
      <c r="AF57" s="236">
        <f t="shared" si="2"/>
        <v>1</v>
      </c>
      <c r="AG57" s="236" t="str">
        <f t="shared" ca="1" si="3"/>
        <v/>
      </c>
      <c r="AH57" s="236" t="str">
        <f t="shared" ca="1" si="18"/>
        <v/>
      </c>
      <c r="AJ57" s="236">
        <f t="shared" ca="1" si="19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4"/>
        <v/>
      </c>
      <c r="AQ57" s="286" t="s">
        <v>257</v>
      </c>
      <c r="AR57" s="286" t="s">
        <v>10</v>
      </c>
      <c r="AS57" s="286">
        <v>20</v>
      </c>
      <c r="AT57" s="286" t="s">
        <v>337</v>
      </c>
      <c r="AV57" s="234">
        <f t="shared" si="21"/>
        <v>2</v>
      </c>
      <c r="AW57" s="234">
        <f>COUNTIF( AV$7:AV57, AV57 )</f>
        <v>12</v>
      </c>
      <c r="AX57" s="287">
        <f t="shared" si="22"/>
        <v>3.2</v>
      </c>
      <c r="AY57" s="234">
        <f t="shared" si="23"/>
        <v>13</v>
      </c>
      <c r="AZ57" s="236"/>
      <c r="BA57" s="236"/>
      <c r="BC57" s="234">
        <f t="shared" ca="1" si="24"/>
        <v>51</v>
      </c>
      <c r="BD57" s="288">
        <f t="shared" ca="1" si="6"/>
        <v>13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/>
      <c r="B58" s="304"/>
      <c r="C58" s="304"/>
      <c r="D58" s="304"/>
      <c r="E58" s="305" t="str">
        <f t="shared" ca="1" si="8"/>
        <v/>
      </c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1</v>
      </c>
      <c r="AX58" s="287">
        <f t="shared" si="22"/>
        <v>99.1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2</v>
      </c>
      <c r="AX59" s="287">
        <f t="shared" si="22"/>
        <v>99.2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3</v>
      </c>
      <c r="AX60" s="287">
        <f t="shared" si="22"/>
        <v>99.3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473</v>
      </c>
      <c r="B61" s="309" t="s">
        <v>108</v>
      </c>
      <c r="C61" s="309">
        <v>23</v>
      </c>
      <c r="D61" s="309" t="s">
        <v>439</v>
      </c>
      <c r="E61" s="310" t="str">
        <f t="shared" ca="1" si="8"/>
        <v>MR</v>
      </c>
      <c r="F61" s="311"/>
      <c r="G61" s="312">
        <f t="shared" ca="1" si="1"/>
        <v>31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62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4</v>
      </c>
      <c r="AX61" s="287">
        <f t="shared" si="22"/>
        <v>99.4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 t="s">
        <v>475</v>
      </c>
      <c r="B62" s="304" t="s">
        <v>28</v>
      </c>
      <c r="C62" s="304">
        <v>18</v>
      </c>
      <c r="D62" s="304" t="s">
        <v>441</v>
      </c>
      <c r="E62" s="305" t="str">
        <f t="shared" ca="1" si="8"/>
        <v>R</v>
      </c>
      <c r="F62" s="306"/>
      <c r="G62" s="307">
        <f t="shared" ca="1" si="1"/>
        <v>51</v>
      </c>
      <c r="H62" s="250"/>
      <c r="I62" s="250"/>
      <c r="AF62" s="236">
        <f t="shared" si="2"/>
        <v>0</v>
      </c>
      <c r="AG62" s="236" t="str">
        <f t="shared" ca="1" si="3"/>
        <v/>
      </c>
      <c r="AH62" s="236" t="str">
        <f t="shared" ca="1" si="18"/>
        <v/>
      </c>
      <c r="AJ62" s="236">
        <f t="shared" ca="1" si="19"/>
        <v>63</v>
      </c>
      <c r="AK62" s="236" t="str">
        <f t="shared" ca="1" si="20"/>
        <v>BBB</v>
      </c>
      <c r="AL62" s="236">
        <f t="shared" ca="1" si="20"/>
        <v>18</v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5</v>
      </c>
      <c r="AX62" s="287">
        <f t="shared" si="22"/>
        <v>99.5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476</v>
      </c>
      <c r="B63" s="304"/>
      <c r="C63" s="304"/>
      <c r="D63" s="304" t="s">
        <v>447</v>
      </c>
      <c r="E63" s="305" t="str">
        <f t="shared" ca="1" si="8"/>
        <v>R</v>
      </c>
      <c r="F63" s="306"/>
      <c r="G63" s="307">
        <f t="shared" ca="1" si="1"/>
        <v>50</v>
      </c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>
        <f t="shared" ca="1" si="19"/>
        <v>64</v>
      </c>
      <c r="AK63" s="236">
        <f t="shared" ca="1" si="20"/>
        <v>0</v>
      </c>
      <c r="AL63" s="236">
        <f t="shared" ca="1" si="20"/>
        <v>0</v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6</v>
      </c>
      <c r="AX63" s="287">
        <f t="shared" si="22"/>
        <v>99.6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248</v>
      </c>
      <c r="B64" s="304"/>
      <c r="C64" s="304"/>
      <c r="D64" s="304" t="s">
        <v>444</v>
      </c>
      <c r="E64" s="305" t="str">
        <f t="shared" ca="1" si="8"/>
        <v>D</v>
      </c>
      <c r="F64" s="306"/>
      <c r="G64" s="307">
        <f t="shared" ca="1" si="1"/>
        <v>59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19"/>
        <v>58</v>
      </c>
      <c r="AK64" s="236" t="str">
        <f t="shared" ca="1" si="20"/>
        <v>CCC-</v>
      </c>
      <c r="AL64" s="236">
        <f t="shared" ca="1" si="20"/>
        <v>8</v>
      </c>
      <c r="AM64" s="236" t="str">
        <f t="shared" ca="1" si="4"/>
        <v>Change</v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 t="s">
        <v>427</v>
      </c>
      <c r="AR65" s="286" t="s">
        <v>28</v>
      </c>
      <c r="AS65" s="286">
        <v>18</v>
      </c>
      <c r="AT65" s="286" t="s">
        <v>441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Q67" s="286" t="s">
        <v>248</v>
      </c>
      <c r="AR67" s="286"/>
      <c r="AS67" s="286"/>
      <c r="AT67" s="286" t="s">
        <v>444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18.716981132075471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18.69811320754717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92D050"/>
    <pageSetUpPr fitToPage="1"/>
  </sheetPr>
  <dimension ref="C1:V43"/>
  <sheetViews>
    <sheetView showGridLines="0" zoomScale="90" zoomScaleNormal="90" workbookViewId="0"/>
  </sheetViews>
  <sheetFormatPr defaultColWidth="9.109375" defaultRowHeight="11.4" x14ac:dyDescent="0.2"/>
  <cols>
    <col min="1" max="2" width="1.44140625" style="60" customWidth="1"/>
    <col min="3" max="3" width="25.109375" style="60" customWidth="1"/>
    <col min="4" max="16384" width="9.109375" style="60"/>
  </cols>
  <sheetData>
    <row r="1" spans="3:22" ht="17.399999999999999" x14ac:dyDescent="0.3">
      <c r="C1" s="18" t="s">
        <v>272</v>
      </c>
    </row>
    <row r="4" spans="3:22" ht="12" x14ac:dyDescent="0.25">
      <c r="C4" s="63"/>
      <c r="D4" s="64"/>
      <c r="E4" s="64"/>
      <c r="F4" s="64"/>
      <c r="G4" s="64"/>
    </row>
    <row r="5" spans="3:22" ht="12" x14ac:dyDescent="0.25">
      <c r="C5" s="493" t="s">
        <v>243</v>
      </c>
      <c r="D5" s="493"/>
      <c r="E5" s="493"/>
      <c r="F5" s="493"/>
      <c r="G5" s="59"/>
      <c r="H5" s="59"/>
    </row>
    <row r="7" spans="3:22" ht="12" x14ac:dyDescent="0.25">
      <c r="C7" s="491" t="s">
        <v>557</v>
      </c>
      <c r="D7" s="492"/>
      <c r="E7" s="492"/>
      <c r="F7" s="492"/>
      <c r="G7" s="58"/>
      <c r="H7" s="58"/>
    </row>
    <row r="8" spans="3:22" x14ac:dyDescent="0.2">
      <c r="I8" s="64"/>
    </row>
    <row r="9" spans="3:22" ht="12" x14ac:dyDescent="0.25">
      <c r="C9" s="54"/>
      <c r="D9" s="61">
        <v>2002</v>
      </c>
      <c r="E9" s="61">
        <v>2003</v>
      </c>
      <c r="F9" s="61">
        <v>2004</v>
      </c>
      <c r="G9" s="61">
        <v>2005</v>
      </c>
      <c r="H9" s="61">
        <v>2006</v>
      </c>
      <c r="I9" s="62">
        <v>2007</v>
      </c>
      <c r="J9" s="62">
        <v>2008</v>
      </c>
      <c r="K9" s="62">
        <v>2009</v>
      </c>
      <c r="L9" s="62">
        <v>2010</v>
      </c>
      <c r="M9" s="62">
        <v>2011</v>
      </c>
      <c r="N9" s="62">
        <v>2012</v>
      </c>
      <c r="O9" s="62">
        <v>2013</v>
      </c>
      <c r="P9" s="62">
        <v>2014</v>
      </c>
      <c r="Q9" s="62">
        <v>2015</v>
      </c>
      <c r="R9" s="62">
        <v>2016</v>
      </c>
      <c r="S9" s="62">
        <v>2017</v>
      </c>
      <c r="T9" s="62">
        <v>2018</v>
      </c>
      <c r="U9" s="62">
        <v>2019</v>
      </c>
      <c r="V9" s="62">
        <v>2020</v>
      </c>
    </row>
    <row r="10" spans="3:22" ht="12" x14ac:dyDescent="0.25">
      <c r="D10" s="62"/>
      <c r="E10" s="62"/>
      <c r="F10" s="61"/>
      <c r="H10" s="64"/>
      <c r="I10" s="64"/>
    </row>
    <row r="11" spans="3:22" x14ac:dyDescent="0.2">
      <c r="C11" s="409" t="s">
        <v>220</v>
      </c>
      <c r="D11" s="410">
        <v>21</v>
      </c>
      <c r="E11" s="410">
        <v>35</v>
      </c>
      <c r="F11" s="411">
        <v>51</v>
      </c>
      <c r="G11" s="412">
        <v>73</v>
      </c>
      <c r="H11" s="413">
        <v>67</v>
      </c>
      <c r="I11" s="413">
        <v>73</v>
      </c>
      <c r="J11" s="409">
        <v>24</v>
      </c>
      <c r="K11" s="409">
        <v>23</v>
      </c>
      <c r="L11" s="409">
        <f>'II. Upgrades &amp; Downgrades'!AO61</f>
        <v>29</v>
      </c>
      <c r="M11" s="409">
        <f>'II. Upgrades &amp; Downgrades'!AS61</f>
        <v>39</v>
      </c>
      <c r="N11" s="409">
        <f>'II. Upgrades &amp; Downgrades'!AW61</f>
        <v>37</v>
      </c>
      <c r="O11" s="409">
        <f>'II. Upgrades &amp; Downgrades'!BA61</f>
        <v>60</v>
      </c>
      <c r="P11" s="409">
        <f>'II. Upgrades &amp; Downgrades'!BE61</f>
        <v>103</v>
      </c>
      <c r="Q11" s="409">
        <f>'II. Upgrades &amp; Downgrades'!BI61</f>
        <v>35</v>
      </c>
      <c r="R11" s="409">
        <f>'II. Upgrades &amp; Downgrades'!BM61</f>
        <v>49</v>
      </c>
      <c r="S11" s="409">
        <f>'II. Upgrades &amp; Downgrades'!BQ61</f>
        <v>38</v>
      </c>
      <c r="T11" s="409">
        <f>'II. Upgrades &amp; Downgrades'!BU61</f>
        <v>41</v>
      </c>
      <c r="U11" s="409">
        <f>'II. Upgrades &amp; Downgrades'!BY61</f>
        <v>55</v>
      </c>
      <c r="V11" s="409">
        <f>'II. Upgrades &amp; Downgrades'!CC61</f>
        <v>1</v>
      </c>
    </row>
    <row r="12" spans="3:22" x14ac:dyDescent="0.2">
      <c r="C12" s="414" t="s">
        <v>221</v>
      </c>
      <c r="D12" s="415">
        <v>279</v>
      </c>
      <c r="E12" s="415">
        <v>218</v>
      </c>
      <c r="F12" s="416">
        <v>59</v>
      </c>
      <c r="G12" s="417">
        <v>48</v>
      </c>
      <c r="H12" s="418">
        <v>43</v>
      </c>
      <c r="I12" s="418">
        <v>48</v>
      </c>
      <c r="J12" s="414">
        <v>26</v>
      </c>
      <c r="K12" s="414">
        <v>34</v>
      </c>
      <c r="L12" s="414">
        <f xml:space="preserve"> - 'II. Upgrades &amp; Downgrades'!AO62</f>
        <v>51</v>
      </c>
      <c r="M12" s="414">
        <f xml:space="preserve"> - 'II. Upgrades &amp; Downgrades'!AS62</f>
        <v>21</v>
      </c>
      <c r="N12" s="414">
        <f xml:space="preserve"> - 'II. Upgrades &amp; Downgrades'!AW62</f>
        <v>39</v>
      </c>
      <c r="O12" s="414">
        <f xml:space="preserve"> - 'II. Upgrades &amp; Downgrades'!BA62</f>
        <v>20</v>
      </c>
      <c r="P12" s="414">
        <f xml:space="preserve"> - 'II. Upgrades &amp; Downgrades'!BE62</f>
        <v>3</v>
      </c>
      <c r="Q12" s="414">
        <f xml:space="preserve"> - 'II. Upgrades &amp; Downgrades'!BI62</f>
        <v>15</v>
      </c>
      <c r="R12" s="414">
        <f xml:space="preserve"> - 'II. Upgrades &amp; Downgrades'!BM62</f>
        <v>18</v>
      </c>
      <c r="S12" s="414">
        <f xml:space="preserve"> - 'II. Upgrades &amp; Downgrades'!BQ62</f>
        <v>14</v>
      </c>
      <c r="T12" s="414">
        <f xml:space="preserve"> - 'II. Upgrades &amp; Downgrades'!BU62</f>
        <v>52</v>
      </c>
      <c r="U12" s="414">
        <f xml:space="preserve"> - 'II. Upgrades &amp; Downgrades'!BY62</f>
        <v>35</v>
      </c>
      <c r="V12" s="414">
        <f xml:space="preserve"> - 'II. Upgrades &amp; Downgrades'!CC62</f>
        <v>4</v>
      </c>
    </row>
    <row r="13" spans="3:22" x14ac:dyDescent="0.2">
      <c r="C13" s="64" t="s">
        <v>222</v>
      </c>
      <c r="D13" s="68">
        <f t="shared" ref="D13:M13" si="0">D11 / D14</f>
        <v>7.0000000000000007E-2</v>
      </c>
      <c r="E13" s="68">
        <f t="shared" si="0"/>
        <v>0.13833992094861661</v>
      </c>
      <c r="F13" s="68">
        <f t="shared" si="0"/>
        <v>0.46363636363636362</v>
      </c>
      <c r="G13" s="68">
        <f t="shared" si="0"/>
        <v>0.60330578512396693</v>
      </c>
      <c r="H13" s="68">
        <f t="shared" si="0"/>
        <v>0.60909090909090913</v>
      </c>
      <c r="I13" s="68">
        <f t="shared" si="0"/>
        <v>0.60330578512396693</v>
      </c>
      <c r="J13" s="68">
        <f t="shared" si="0"/>
        <v>0.48</v>
      </c>
      <c r="K13" s="68">
        <f t="shared" si="0"/>
        <v>0.40350877192982454</v>
      </c>
      <c r="L13" s="68">
        <f t="shared" si="0"/>
        <v>0.36249999999999999</v>
      </c>
      <c r="M13" s="68">
        <f t="shared" si="0"/>
        <v>0.65</v>
      </c>
      <c r="N13" s="68">
        <f t="shared" ref="N13:U13" si="1">N11 / N14</f>
        <v>0.48684210526315791</v>
      </c>
      <c r="O13" s="68">
        <f t="shared" si="1"/>
        <v>0.75</v>
      </c>
      <c r="P13" s="68">
        <f t="shared" si="1"/>
        <v>0.97169811320754718</v>
      </c>
      <c r="Q13" s="68">
        <f t="shared" si="1"/>
        <v>0.7</v>
      </c>
      <c r="R13" s="68">
        <f t="shared" si="1"/>
        <v>0.73134328358208955</v>
      </c>
      <c r="S13" s="68">
        <f t="shared" ref="S13" si="2">S11 / S14</f>
        <v>0.73076923076923073</v>
      </c>
      <c r="T13" s="68">
        <f t="shared" ref="T13" si="3">T11 / T14</f>
        <v>0.44086021505376344</v>
      </c>
      <c r="U13" s="68">
        <f t="shared" si="1"/>
        <v>0.61111111111111116</v>
      </c>
      <c r="V13" s="68">
        <f t="shared" ref="V13" si="4">V11 / V14</f>
        <v>0.2</v>
      </c>
    </row>
    <row r="14" spans="3:22" ht="12" x14ac:dyDescent="0.25">
      <c r="C14" s="407" t="s">
        <v>217</v>
      </c>
      <c r="D14" s="408">
        <f t="shared" ref="D14:J14" si="5">SUM(D11:D12)</f>
        <v>300</v>
      </c>
      <c r="E14" s="408">
        <f t="shared" si="5"/>
        <v>253</v>
      </c>
      <c r="F14" s="407">
        <f t="shared" si="5"/>
        <v>110</v>
      </c>
      <c r="G14" s="407">
        <f t="shared" si="5"/>
        <v>121</v>
      </c>
      <c r="H14" s="407">
        <f t="shared" si="5"/>
        <v>110</v>
      </c>
      <c r="I14" s="408">
        <f t="shared" si="5"/>
        <v>121</v>
      </c>
      <c r="J14" s="408">
        <f t="shared" si="5"/>
        <v>50</v>
      </c>
      <c r="K14" s="408">
        <f t="shared" ref="K14:U14" si="6">SUM(K11:K12)</f>
        <v>57</v>
      </c>
      <c r="L14" s="408">
        <f t="shared" si="6"/>
        <v>80</v>
      </c>
      <c r="M14" s="408">
        <f t="shared" si="6"/>
        <v>60</v>
      </c>
      <c r="N14" s="408">
        <f t="shared" si="6"/>
        <v>76</v>
      </c>
      <c r="O14" s="408">
        <f t="shared" si="6"/>
        <v>80</v>
      </c>
      <c r="P14" s="408">
        <f t="shared" ref="P14:R14" si="7">SUM(P11:P12)</f>
        <v>106</v>
      </c>
      <c r="Q14" s="408">
        <f t="shared" si="7"/>
        <v>50</v>
      </c>
      <c r="R14" s="408">
        <f t="shared" si="7"/>
        <v>67</v>
      </c>
      <c r="S14" s="408">
        <f t="shared" ref="S14" si="8">SUM(S11:S12)</f>
        <v>52</v>
      </c>
      <c r="T14" s="408">
        <f t="shared" ref="T14" si="9">SUM(T11:T12)</f>
        <v>93</v>
      </c>
      <c r="U14" s="408">
        <f t="shared" si="6"/>
        <v>90</v>
      </c>
      <c r="V14" s="408">
        <f t="shared" ref="V14" si="10">SUM(V11:V12)</f>
        <v>5</v>
      </c>
    </row>
    <row r="15" spans="3:22" ht="12" x14ac:dyDescent="0.25">
      <c r="C15" s="33"/>
      <c r="D15" s="63"/>
      <c r="E15" s="63"/>
      <c r="F15" s="54"/>
      <c r="G15" s="54"/>
      <c r="H15" s="54"/>
      <c r="I15" s="54"/>
    </row>
    <row r="16" spans="3:22" x14ac:dyDescent="0.2">
      <c r="C16" s="33" t="s">
        <v>418</v>
      </c>
      <c r="D16" s="209">
        <v>0.5</v>
      </c>
      <c r="E16" s="208">
        <f>D16</f>
        <v>0.5</v>
      </c>
      <c r="F16" s="208">
        <f t="shared" ref="F16:M16" si="11">E16</f>
        <v>0.5</v>
      </c>
      <c r="G16" s="208">
        <f t="shared" si="11"/>
        <v>0.5</v>
      </c>
      <c r="H16" s="208">
        <f t="shared" si="11"/>
        <v>0.5</v>
      </c>
      <c r="I16" s="208">
        <f t="shared" si="11"/>
        <v>0.5</v>
      </c>
      <c r="J16" s="208">
        <f t="shared" si="11"/>
        <v>0.5</v>
      </c>
      <c r="K16" s="208">
        <f t="shared" si="11"/>
        <v>0.5</v>
      </c>
      <c r="L16" s="208">
        <f t="shared" si="11"/>
        <v>0.5</v>
      </c>
      <c r="M16" s="208">
        <f t="shared" si="11"/>
        <v>0.5</v>
      </c>
      <c r="N16" s="208">
        <f>L16</f>
        <v>0.5</v>
      </c>
      <c r="O16" s="208">
        <f>M16</f>
        <v>0.5</v>
      </c>
      <c r="P16" s="208">
        <f>L16</f>
        <v>0.5</v>
      </c>
      <c r="Q16" s="208">
        <f>L16</f>
        <v>0.5</v>
      </c>
      <c r="R16" s="208">
        <f>L16</f>
        <v>0.5</v>
      </c>
      <c r="S16" s="208">
        <f>M16</f>
        <v>0.5</v>
      </c>
      <c r="T16" s="208">
        <f>L16</f>
        <v>0.5</v>
      </c>
      <c r="U16" s="208">
        <f>M16</f>
        <v>0.5</v>
      </c>
      <c r="V16" s="208">
        <f>N16</f>
        <v>0.5</v>
      </c>
    </row>
    <row r="17" spans="3:9" ht="12" x14ac:dyDescent="0.25">
      <c r="C17" s="54"/>
      <c r="D17" s="54"/>
      <c r="E17" s="54"/>
      <c r="F17" s="54"/>
      <c r="G17" s="54"/>
      <c r="H17" s="54"/>
      <c r="I17" s="54"/>
    </row>
    <row r="18" spans="3:9" ht="12" x14ac:dyDescent="0.25">
      <c r="C18" s="54"/>
      <c r="D18" s="54"/>
      <c r="E18" s="54"/>
      <c r="F18" s="54"/>
      <c r="G18" s="54"/>
      <c r="H18" s="54"/>
      <c r="I18" s="54"/>
    </row>
    <row r="42" spans="4:4" ht="12" x14ac:dyDescent="0.25">
      <c r="D42" s="54" t="s">
        <v>132</v>
      </c>
    </row>
    <row r="43" spans="4:4" x14ac:dyDescent="0.2">
      <c r="D43" s="55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  <legacy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2060"/>
    <pageSetUpPr fitToPage="1"/>
  </sheetPr>
  <dimension ref="A1:BJ79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-- 2014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'Credit_2013Q4'!a:a</v>
      </c>
      <c r="AK2" s="240" t="str">
        <f>AK4 &amp; AK3</f>
        <v>'Credit_2013Q4'!b1</v>
      </c>
      <c r="AL2" s="240" t="str">
        <f>AL4 &amp; AL3</f>
        <v>'Credit_2013Q4'!c1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'Credit_2013Q4'!</v>
      </c>
      <c r="AK4" s="236" t="str">
        <f t="shared" ref="AK4:AL4" si="0">$AQ$5</f>
        <v>'Credit_2013Q4'!</v>
      </c>
      <c r="AL4" s="236" t="str">
        <f t="shared" si="0"/>
        <v>'Credit_2013Q4'!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(54)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497</v>
      </c>
    </row>
    <row r="6" spans="1:61" ht="28.5" customHeight="1" x14ac:dyDescent="0.25">
      <c r="A6" s="299" t="s">
        <v>0</v>
      </c>
      <c r="B6" s="300" t="s">
        <v>498</v>
      </c>
      <c r="C6" s="338" t="s">
        <v>470</v>
      </c>
      <c r="D6" s="301"/>
      <c r="E6" s="302">
        <v>41274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1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18.444444444444443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18.457142857142856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13.5</v>
      </c>
      <c r="V16" s="502"/>
      <c r="W16" s="316"/>
      <c r="AE16" s="254"/>
      <c r="AF16" s="236">
        <f t="shared" si="3"/>
        <v>0</v>
      </c>
      <c r="AG16" s="236" t="str">
        <f t="shared" ca="1" si="4"/>
        <v/>
      </c>
      <c r="AH16" s="236" t="str">
        <f t="shared" ca="1" si="19"/>
        <v/>
      </c>
      <c r="AJ16" s="236">
        <f t="shared" ca="1" si="5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6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 t="str">
        <f t="shared" ca="1" si="4"/>
        <v/>
      </c>
      <c r="AH21" s="236" t="str">
        <f t="shared" ca="1" si="19"/>
        <v/>
      </c>
      <c r="AJ21" s="236">
        <f t="shared" ca="1" si="5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6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9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9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6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9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54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 t="str">
        <f t="shared" ca="1" si="4"/>
        <v/>
      </c>
      <c r="AH55" s="236" t="str">
        <f t="shared" ca="1" si="19"/>
        <v/>
      </c>
      <c r="AJ55" s="236">
        <f t="shared" ca="1" si="5"/>
        <v>55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6"/>
        <v/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 t="str">
        <f t="shared" ca="1" si="19"/>
        <v/>
      </c>
      <c r="AJ56" s="236">
        <f t="shared" ca="1" si="5"/>
        <v>56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6"/>
        <v/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57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 t="str">
        <f t="shared" ca="1" si="19"/>
        <v/>
      </c>
      <c r="AJ58" s="236">
        <f t="shared" ca="1" si="5"/>
        <v>58</v>
      </c>
      <c r="AK58" s="236" t="str">
        <f t="shared" ca="1" si="20"/>
        <v>CCC-</v>
      </c>
      <c r="AL58" s="236">
        <f t="shared" ca="1" si="20"/>
        <v>8</v>
      </c>
      <c r="AM58" s="236" t="str">
        <f t="shared" ca="1" si="6"/>
        <v/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 t="s">
        <v>506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'Credit_2013Q3'!a:a</v>
      </c>
      <c r="AK2" s="240" t="str">
        <f>AK4 &amp; AK3</f>
        <v>'Credit_2013Q3'!b1</v>
      </c>
      <c r="AL2" s="240" t="str">
        <f>AL4 &amp; AL3</f>
        <v>'Credit_2013Q3'!c1</v>
      </c>
      <c r="AQ2" s="236"/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'Credit_2013Q3'!</v>
      </c>
      <c r="AK4" s="236" t="str">
        <f t="shared" ref="AK4:AL4" si="0">$AQ$5</f>
        <v>'Credit_2013Q3'!</v>
      </c>
      <c r="AL4" s="236" t="str">
        <f t="shared" si="0"/>
        <v>'Credit_2013Q3'!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(54)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495</v>
      </c>
    </row>
    <row r="6" spans="1:61" ht="28.5" customHeight="1" x14ac:dyDescent="0.25">
      <c r="A6" s="299" t="s">
        <v>0</v>
      </c>
      <c r="B6" s="300" t="s">
        <v>431</v>
      </c>
      <c r="C6" s="338" t="s">
        <v>470</v>
      </c>
      <c r="D6" s="301"/>
      <c r="E6" s="302">
        <v>41274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8" ca="1" si="1">OFFSET( INDIRECT( E$3 &amp; E$4 ), $G7 - 1, 0 )</f>
        <v>R</v>
      </c>
      <c r="F7" s="306"/>
      <c r="G7" s="307">
        <f t="shared" ref="G7:G64" ca="1" si="2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3">IF( LEN( C7 ) = 0, 0, IF( C7 = C6, AF6, IF( AF6 = 1, 0, 1 ) ) )</f>
        <v>1</v>
      </c>
      <c r="AG7" s="236" t="str">
        <f t="shared" ref="AG7:AG64" ca="1" si="4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5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6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7">OFFSET( BC7, -1, 0 ) + 1</f>
        <v>1</v>
      </c>
      <c r="BD7" s="288">
        <f t="shared" ref="BD7:BD62" ca="1" si="8">MATCH( BC7, $AY$7:$AY$63, 0 )</f>
        <v>46</v>
      </c>
      <c r="BF7" s="240" t="str">
        <f t="shared" ref="BF7:BI38" ca="1" si="9">OFFSET( AQ$6, $BD7, 0 )</f>
        <v>Southern Company</v>
      </c>
      <c r="BG7" s="240" t="str">
        <f t="shared" ca="1" si="9"/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1"/>
        <v>R</v>
      </c>
      <c r="F8" s="306"/>
      <c r="G8" s="307">
        <f t="shared" ca="1" si="2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3.7037037037037035E-2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2.8571428571428571E-2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3"/>
        <v>0</v>
      </c>
      <c r="AG8" s="236" t="str">
        <f t="shared" ca="1" si="4"/>
        <v/>
      </c>
      <c r="AH8" s="236" t="str">
        <f t="shared" ref="AH8:AH67" ca="1" si="19">IF( LEN( $C8 ) = 0, "", IF( $C8 &lt; $AL8, 1, "" ) )</f>
        <v/>
      </c>
      <c r="AJ8" s="236">
        <f t="shared" ca="1" si="5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6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8"/>
        <v>2</v>
      </c>
      <c r="BF8" s="240" t="str">
        <f t="shared" ca="1" si="9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1"/>
        <v>MR</v>
      </c>
      <c r="F9" s="306"/>
      <c r="G9" s="307">
        <f t="shared" ca="1" si="2"/>
        <v>13</v>
      </c>
      <c r="H9" s="250"/>
      <c r="I9" s="318"/>
      <c r="J9" s="295" t="s">
        <v>10</v>
      </c>
      <c r="K9" s="318"/>
      <c r="L9" s="295">
        <f t="shared" si="10"/>
        <v>12</v>
      </c>
      <c r="M9" s="296">
        <f t="shared" si="11"/>
        <v>0.22222222222222221</v>
      </c>
      <c r="N9" s="318"/>
      <c r="O9" s="295">
        <f t="shared" ca="1" si="12"/>
        <v>7</v>
      </c>
      <c r="P9" s="296">
        <f t="shared" ca="1" si="13"/>
        <v>0.2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12</v>
      </c>
      <c r="AC9" s="253"/>
      <c r="AE9" s="254"/>
      <c r="AF9" s="236">
        <f t="shared" si="3"/>
        <v>0</v>
      </c>
      <c r="AG9" s="236" t="str">
        <f t="shared" ca="1" si="4"/>
        <v/>
      </c>
      <c r="AH9" s="236" t="str">
        <f t="shared" ca="1" si="19"/>
        <v/>
      </c>
      <c r="AJ9" s="236">
        <f t="shared" ca="1" si="5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6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8"/>
        <v>7</v>
      </c>
      <c r="BF9" s="240" t="str">
        <f t="shared" ca="1" si="9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1"/>
        <v>R</v>
      </c>
      <c r="F10" s="306"/>
      <c r="G10" s="307">
        <f t="shared" ca="1" si="2"/>
        <v>16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0.22222222222222221</v>
      </c>
      <c r="N10" s="318"/>
      <c r="O10" s="295">
        <f t="shared" ca="1" si="12"/>
        <v>6</v>
      </c>
      <c r="P10" s="296">
        <f t="shared" ca="1" si="13"/>
        <v>0.17142857142857143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3"/>
        <v>0</v>
      </c>
      <c r="AG10" s="236" t="str">
        <f t="shared" ca="1" si="4"/>
        <v/>
      </c>
      <c r="AH10" s="236" t="str">
        <f t="shared" ca="1" si="19"/>
        <v/>
      </c>
      <c r="AJ10" s="236">
        <f t="shared" ca="1" si="5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6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26</v>
      </c>
      <c r="AW10" s="234">
        <f>COUNTIF( AV$7:AV10, AV10 )</f>
        <v>1</v>
      </c>
      <c r="AX10" s="287">
        <f t="shared" si="22"/>
        <v>26.1</v>
      </c>
      <c r="AY10" s="234">
        <f t="shared" si="23"/>
        <v>26</v>
      </c>
      <c r="AZ10" s="236"/>
      <c r="BA10" s="236"/>
      <c r="BC10" s="234">
        <f t="shared" ca="1" si="24"/>
        <v>4</v>
      </c>
      <c r="BD10" s="288">
        <f t="shared" ca="1" si="8"/>
        <v>10</v>
      </c>
      <c r="BF10" s="240" t="str">
        <f t="shared" ca="1" si="9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1"/>
        <v>MR</v>
      </c>
      <c r="F11" s="306"/>
      <c r="G11" s="307">
        <f t="shared" ca="1" si="2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0.37037037037037035</v>
      </c>
      <c r="N11" s="318"/>
      <c r="O11" s="295">
        <f t="shared" ca="1" si="12"/>
        <v>17</v>
      </c>
      <c r="P11" s="296">
        <f t="shared" ca="1" si="13"/>
        <v>0.48571428571428571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3"/>
        <v>0</v>
      </c>
      <c r="AG11" s="236" t="str">
        <f t="shared" ca="1" si="4"/>
        <v/>
      </c>
      <c r="AH11" s="236" t="str">
        <f t="shared" ca="1" si="19"/>
        <v/>
      </c>
      <c r="AJ11" s="236">
        <f t="shared" ca="1" si="5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6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26</v>
      </c>
      <c r="AW11" s="234">
        <f>COUNTIF( AV$7:AV11, AV11 )</f>
        <v>2</v>
      </c>
      <c r="AX11" s="287">
        <f t="shared" si="22"/>
        <v>26.2</v>
      </c>
      <c r="AY11" s="234">
        <f t="shared" si="23"/>
        <v>27</v>
      </c>
      <c r="AZ11" s="236"/>
      <c r="BA11" s="236"/>
      <c r="BC11" s="234">
        <f t="shared" ca="1" si="24"/>
        <v>5</v>
      </c>
      <c r="BD11" s="288">
        <f t="shared" ca="1" si="8"/>
        <v>11</v>
      </c>
      <c r="BF11" s="240" t="str">
        <f t="shared" ca="1" si="9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1"/>
        <v>R</v>
      </c>
      <c r="F12" s="306"/>
      <c r="G12" s="307">
        <f t="shared" ca="1" si="2"/>
        <v>29</v>
      </c>
      <c r="H12" s="250"/>
      <c r="I12" s="318"/>
      <c r="J12" s="295" t="s">
        <v>49</v>
      </c>
      <c r="K12" s="318"/>
      <c r="L12" s="295">
        <f t="shared" si="10"/>
        <v>5</v>
      </c>
      <c r="M12" s="296">
        <f t="shared" si="11"/>
        <v>9.2592592592592587E-2</v>
      </c>
      <c r="N12" s="318"/>
      <c r="O12" s="295">
        <f t="shared" ca="1" si="12"/>
        <v>2</v>
      </c>
      <c r="P12" s="296">
        <f t="shared" ca="1" si="13"/>
        <v>5.7142857142857141E-2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5</v>
      </c>
      <c r="AE12" s="254"/>
      <c r="AF12" s="236">
        <f t="shared" si="3"/>
        <v>0</v>
      </c>
      <c r="AG12" s="236" t="str">
        <f t="shared" ca="1" si="4"/>
        <v/>
      </c>
      <c r="AH12" s="236" t="str">
        <f t="shared" ca="1" si="19"/>
        <v/>
      </c>
      <c r="AJ12" s="236">
        <f t="shared" ca="1" si="5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6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1"/>
        <v>26</v>
      </c>
      <c r="AW12" s="234">
        <f>COUNTIF( AV$7:AV12, AV12 )</f>
        <v>3</v>
      </c>
      <c r="AX12" s="287">
        <f t="shared" si="22"/>
        <v>26.3</v>
      </c>
      <c r="AY12" s="234">
        <f t="shared" si="23"/>
        <v>28</v>
      </c>
      <c r="AZ12" s="236"/>
      <c r="BA12" s="236"/>
      <c r="BC12" s="234">
        <f t="shared" ca="1" si="24"/>
        <v>6</v>
      </c>
      <c r="BD12" s="288">
        <f t="shared" ca="1" si="8"/>
        <v>26</v>
      </c>
      <c r="BF12" s="240" t="str">
        <f t="shared" ca="1" si="9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1"/>
        <v>MR</v>
      </c>
      <c r="F13" s="306"/>
      <c r="G13" s="307">
        <f t="shared" ca="1" si="2"/>
        <v>32</v>
      </c>
      <c r="H13" s="250"/>
      <c r="I13" s="319"/>
      <c r="J13" s="297" t="s">
        <v>79</v>
      </c>
      <c r="K13" s="319"/>
      <c r="L13" s="297">
        <f t="shared" si="10"/>
        <v>3</v>
      </c>
      <c r="M13" s="298">
        <f t="shared" si="11"/>
        <v>5.5555555555555552E-2</v>
      </c>
      <c r="N13" s="319"/>
      <c r="O13" s="297">
        <f t="shared" ca="1" si="12"/>
        <v>2</v>
      </c>
      <c r="P13" s="298">
        <f t="shared" ca="1" si="13"/>
        <v>5.7142857142857141E-2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3"/>
        <v>0</v>
      </c>
      <c r="AG13" s="236" t="str">
        <f t="shared" ca="1" si="4"/>
        <v/>
      </c>
      <c r="AH13" s="236" t="str">
        <f t="shared" ca="1" si="19"/>
        <v/>
      </c>
      <c r="AJ13" s="236">
        <f t="shared" ca="1" si="5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6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8"/>
        <v>30</v>
      </c>
      <c r="BF13" s="240" t="str">
        <f t="shared" ca="1" si="9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1"/>
        <v>R</v>
      </c>
      <c r="F14" s="306"/>
      <c r="G14" s="307">
        <f t="shared" ca="1" si="2"/>
        <v>34</v>
      </c>
      <c r="H14" s="250"/>
      <c r="I14" s="320"/>
      <c r="J14" s="291" t="s">
        <v>80</v>
      </c>
      <c r="K14" s="320"/>
      <c r="L14" s="291">
        <f>SUM(L8:L13)</f>
        <v>54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18.574074074074073</v>
      </c>
      <c r="Z14" s="261"/>
      <c r="AA14" s="430">
        <f ca="1">SUM(AA8:AA13)</f>
        <v>54</v>
      </c>
      <c r="AE14" s="254"/>
      <c r="AF14" s="236">
        <f t="shared" si="3"/>
        <v>0</v>
      </c>
      <c r="AG14" s="236" t="str">
        <f t="shared" ca="1" si="4"/>
        <v/>
      </c>
      <c r="AH14" s="236" t="str">
        <f t="shared" ca="1" si="19"/>
        <v/>
      </c>
      <c r="AJ14" s="236">
        <f t="shared" ca="1" si="5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6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14</v>
      </c>
      <c r="AW14" s="234">
        <f>COUNTIF( AV$7:AV14, AV14 )</f>
        <v>3</v>
      </c>
      <c r="AX14" s="287">
        <f t="shared" si="22"/>
        <v>14.3</v>
      </c>
      <c r="AY14" s="234">
        <f t="shared" si="23"/>
        <v>16</v>
      </c>
      <c r="AZ14" s="236"/>
      <c r="BA14" s="236"/>
      <c r="BC14" s="234">
        <f t="shared" ca="1" si="24"/>
        <v>8</v>
      </c>
      <c r="BD14" s="288">
        <f t="shared" ca="1" si="8"/>
        <v>32</v>
      </c>
      <c r="BF14" s="240" t="str">
        <f t="shared" ca="1" si="9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1"/>
        <v>MR</v>
      </c>
      <c r="F15" s="306"/>
      <c r="G15" s="307">
        <f t="shared" ca="1" si="2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3"/>
        <v>0</v>
      </c>
      <c r="AG15" s="236" t="str">
        <f t="shared" ca="1" si="4"/>
        <v/>
      </c>
      <c r="AH15" s="236" t="str">
        <f t="shared" ca="1" si="19"/>
        <v/>
      </c>
      <c r="AJ15" s="236">
        <f t="shared" ca="1" si="5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6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26</v>
      </c>
      <c r="AW15" s="234">
        <f>COUNTIF( AV$7:AV15, AV15 )</f>
        <v>4</v>
      </c>
      <c r="AX15" s="287">
        <f t="shared" si="22"/>
        <v>26.4</v>
      </c>
      <c r="AY15" s="234">
        <f t="shared" si="23"/>
        <v>29</v>
      </c>
      <c r="AZ15" s="236"/>
      <c r="BA15" s="236"/>
      <c r="BC15" s="234">
        <f t="shared" ca="1" si="24"/>
        <v>9</v>
      </c>
      <c r="BD15" s="288">
        <f t="shared" ca="1" si="8"/>
        <v>34</v>
      </c>
      <c r="BF15" s="240" t="str">
        <f t="shared" ca="1" si="9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41</v>
      </c>
      <c r="B16" s="304" t="s">
        <v>10</v>
      </c>
      <c r="C16" s="304">
        <v>20</v>
      </c>
      <c r="D16" s="304" t="s">
        <v>321</v>
      </c>
      <c r="E16" s="305" t="str">
        <f t="shared" ca="1" si="1"/>
        <v>R</v>
      </c>
      <c r="F16" s="306"/>
      <c r="G16" s="307">
        <f t="shared" ca="1" si="2"/>
        <v>41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18.444444444444443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18.457142857142856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13.5</v>
      </c>
      <c r="V16" s="502"/>
      <c r="W16" s="316"/>
      <c r="AE16" s="254"/>
      <c r="AF16" s="236">
        <f t="shared" si="3"/>
        <v>0</v>
      </c>
      <c r="AG16" s="236">
        <f t="shared" ca="1" si="4"/>
        <v>1</v>
      </c>
      <c r="AH16" s="236" t="str">
        <f t="shared" ca="1" si="19"/>
        <v/>
      </c>
      <c r="AJ16" s="236">
        <f t="shared" ca="1" si="5"/>
        <v>26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6"/>
        <v>Change</v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8"/>
        <v>38</v>
      </c>
      <c r="BF16" s="240" t="str">
        <f t="shared" ca="1" si="9"/>
        <v>Pinnacle West Capital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PNW</v>
      </c>
    </row>
    <row r="17" spans="1:61" ht="13.8" x14ac:dyDescent="0.25">
      <c r="A17" s="303" t="s">
        <v>14</v>
      </c>
      <c r="B17" s="304" t="s">
        <v>10</v>
      </c>
      <c r="C17" s="304">
        <v>20</v>
      </c>
      <c r="D17" s="304" t="s">
        <v>334</v>
      </c>
      <c r="E17" s="305" t="str">
        <f t="shared" ca="1" si="1"/>
        <v>MR</v>
      </c>
      <c r="F17" s="306"/>
      <c r="G17" s="307">
        <f t="shared" ca="1" si="2"/>
        <v>53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3"/>
        <v>0</v>
      </c>
      <c r="AG17" s="236" t="str">
        <f t="shared" ca="1" si="4"/>
        <v/>
      </c>
      <c r="AH17" s="236" t="str">
        <f t="shared" ca="1" si="19"/>
        <v/>
      </c>
      <c r="AJ17" s="236">
        <f t="shared" ca="1" si="5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6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8"/>
        <v>49</v>
      </c>
      <c r="BF17" s="240" t="str">
        <f t="shared" ca="1" si="9"/>
        <v>Vectren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VVC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1"/>
        <v>R</v>
      </c>
      <c r="F18" s="306"/>
      <c r="G18" s="307">
        <f t="shared" ca="1" si="2"/>
        <v>55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3"/>
        <v>0</v>
      </c>
      <c r="AG18" s="236" t="str">
        <f t="shared" ca="1" si="4"/>
        <v/>
      </c>
      <c r="AH18" s="236" t="str">
        <f t="shared" ca="1" si="19"/>
        <v/>
      </c>
      <c r="AJ18" s="236">
        <f t="shared" ca="1" si="5"/>
        <v>17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6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51</v>
      </c>
      <c r="AW18" s="234">
        <f>COUNTIF( AV$7:AV18, AV18 )</f>
        <v>1</v>
      </c>
      <c r="AX18" s="287">
        <f t="shared" si="22"/>
        <v>51.1</v>
      </c>
      <c r="AY18" s="234">
        <f t="shared" si="23"/>
        <v>51</v>
      </c>
      <c r="AZ18" s="236"/>
      <c r="BA18" s="236"/>
      <c r="BC18" s="234">
        <f t="shared" ca="1" si="24"/>
        <v>12</v>
      </c>
      <c r="BD18" s="288">
        <f t="shared" ca="1" si="8"/>
        <v>51</v>
      </c>
      <c r="BF18" s="240" t="str">
        <f t="shared" ca="1" si="9"/>
        <v>Wisconsin Energy Corporation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1"/>
        <v>R</v>
      </c>
      <c r="F19" s="306"/>
      <c r="G19" s="307">
        <f t="shared" ca="1" si="2"/>
        <v>56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3"/>
        <v>0</v>
      </c>
      <c r="AG19" s="236" t="str">
        <f t="shared" ca="1" si="4"/>
        <v/>
      </c>
      <c r="AH19" s="236" t="str">
        <f t="shared" ca="1" si="19"/>
        <v/>
      </c>
      <c r="AJ19" s="236">
        <f t="shared" ca="1" si="5"/>
        <v>18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6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14</v>
      </c>
      <c r="AW19" s="234">
        <f>COUNTIF( AV$7:AV19, AV19 )</f>
        <v>4</v>
      </c>
      <c r="AX19" s="287">
        <f t="shared" si="22"/>
        <v>14.4</v>
      </c>
      <c r="AY19" s="234">
        <f t="shared" si="23"/>
        <v>17</v>
      </c>
      <c r="AZ19" s="236"/>
      <c r="BA19" s="236"/>
      <c r="BC19" s="234">
        <f t="shared" ca="1" si="24"/>
        <v>13</v>
      </c>
      <c r="BD19" s="288">
        <f t="shared" ca="1" si="8"/>
        <v>52</v>
      </c>
      <c r="BF19" s="240" t="str">
        <f t="shared" ca="1" si="9"/>
        <v>Xcel Energy Inc.</v>
      </c>
      <c r="BG19" s="240" t="str">
        <f t="shared" ca="1" si="9"/>
        <v>A-</v>
      </c>
      <c r="BH19" s="240">
        <f t="shared" ca="1" si="9"/>
        <v>20</v>
      </c>
      <c r="BI19" s="240" t="str">
        <f t="shared" ca="1" si="9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1"/>
        <v>R</v>
      </c>
      <c r="F20" s="306"/>
      <c r="G20" s="307">
        <f t="shared" ca="1" si="2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3"/>
        <v>1</v>
      </c>
      <c r="AG20" s="236" t="str">
        <f t="shared" ca="1" si="4"/>
        <v/>
      </c>
      <c r="AH20" s="236" t="str">
        <f t="shared" ca="1" si="19"/>
        <v/>
      </c>
      <c r="AJ20" s="236">
        <f t="shared" ca="1" si="5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6"/>
        <v/>
      </c>
      <c r="AQ20" s="286" t="s">
        <v>32</v>
      </c>
      <c r="AR20" s="286" t="s">
        <v>16</v>
      </c>
      <c r="AS20" s="286">
        <v>19</v>
      </c>
      <c r="AT20" s="286" t="s">
        <v>289</v>
      </c>
      <c r="AV20" s="234">
        <f t="shared" si="21"/>
        <v>14</v>
      </c>
      <c r="AW20" s="234">
        <f>COUNTIF( AV$7:AV20, AV20 )</f>
        <v>5</v>
      </c>
      <c r="AX20" s="287">
        <f t="shared" si="22"/>
        <v>14.5</v>
      </c>
      <c r="AY20" s="234">
        <f t="shared" si="23"/>
        <v>18</v>
      </c>
      <c r="AZ20" s="236"/>
      <c r="BA20" s="236"/>
      <c r="BC20" s="234">
        <f t="shared" ca="1" si="24"/>
        <v>14</v>
      </c>
      <c r="BD20" s="288">
        <f t="shared" ca="1" si="8"/>
        <v>1</v>
      </c>
      <c r="BF20" s="240" t="str">
        <f t="shared" ca="1" si="9"/>
        <v>ALLETE,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1"/>
        <v>R</v>
      </c>
      <c r="F21" s="306"/>
      <c r="G21" s="307">
        <f t="shared" ca="1" si="2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3"/>
        <v>1</v>
      </c>
      <c r="AG21" s="236">
        <f t="shared" ca="1" si="4"/>
        <v>1</v>
      </c>
      <c r="AH21" s="236" t="str">
        <f t="shared" ca="1" si="19"/>
        <v/>
      </c>
      <c r="AJ21" s="236">
        <f t="shared" ca="1" si="5"/>
        <v>31</v>
      </c>
      <c r="AK21" s="236" t="str">
        <f t="shared" ca="1" si="20"/>
        <v>BBB</v>
      </c>
      <c r="AL21" s="236">
        <f t="shared" ca="1" si="20"/>
        <v>18</v>
      </c>
      <c r="AM21" s="236" t="str">
        <f t="shared" ca="1" si="6"/>
        <v>Change</v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1"/>
        <v>45</v>
      </c>
      <c r="AW21" s="234">
        <f>COUNTIF( AV$7:AV21, AV21 )</f>
        <v>1</v>
      </c>
      <c r="AX21" s="287">
        <f t="shared" si="22"/>
        <v>45.1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8"/>
        <v>3</v>
      </c>
      <c r="BF21" s="240" t="str">
        <f t="shared" ca="1" si="9"/>
        <v>Ameren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AEE</v>
      </c>
    </row>
    <row r="22" spans="1:61" ht="13.8" x14ac:dyDescent="0.25">
      <c r="A22" s="303" t="s">
        <v>30</v>
      </c>
      <c r="B22" s="304" t="s">
        <v>16</v>
      </c>
      <c r="C22" s="304">
        <v>19</v>
      </c>
      <c r="D22" s="304" t="s">
        <v>284</v>
      </c>
      <c r="E22" s="305" t="str">
        <f t="shared" ca="1" si="1"/>
        <v>R</v>
      </c>
      <c r="F22" s="306"/>
      <c r="G22" s="307">
        <f t="shared" ca="1" si="2"/>
        <v>14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3"/>
        <v>1</v>
      </c>
      <c r="AG22" s="236" t="str">
        <f t="shared" ca="1" si="4"/>
        <v/>
      </c>
      <c r="AH22" s="236" t="str">
        <f t="shared" ca="1" si="19"/>
        <v/>
      </c>
      <c r="AJ22" s="236">
        <f t="shared" ca="1" si="5"/>
        <v>20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6"/>
        <v/>
      </c>
      <c r="AQ22" s="286" t="s">
        <v>34</v>
      </c>
      <c r="AR22" s="286" t="s">
        <v>28</v>
      </c>
      <c r="AS22" s="286">
        <v>18</v>
      </c>
      <c r="AT22" s="289" t="s">
        <v>293</v>
      </c>
      <c r="AV22" s="234">
        <f t="shared" si="21"/>
        <v>26</v>
      </c>
      <c r="AW22" s="234">
        <f>COUNTIF( AV$7:AV22, AV22 )</f>
        <v>5</v>
      </c>
      <c r="AX22" s="287">
        <f t="shared" si="22"/>
        <v>26.5</v>
      </c>
      <c r="AY22" s="234">
        <f t="shared" si="23"/>
        <v>30</v>
      </c>
      <c r="AZ22" s="236"/>
      <c r="BA22" s="236"/>
      <c r="BC22" s="234">
        <f t="shared" ca="1" si="24"/>
        <v>16</v>
      </c>
      <c r="BD22" s="288">
        <f t="shared" ca="1" si="8"/>
        <v>8</v>
      </c>
      <c r="BF22" s="240" t="str">
        <f t="shared" ca="1" si="9"/>
        <v>Cleco Corporation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CNL</v>
      </c>
    </row>
    <row r="23" spans="1:61" ht="13.8" x14ac:dyDescent="0.25">
      <c r="A23" s="303" t="s">
        <v>31</v>
      </c>
      <c r="B23" s="304" t="s">
        <v>16</v>
      </c>
      <c r="C23" s="304">
        <v>19</v>
      </c>
      <c r="D23" s="304" t="s">
        <v>288</v>
      </c>
      <c r="E23" s="305" t="str">
        <f t="shared" ca="1" si="1"/>
        <v>R</v>
      </c>
      <c r="F23" s="306"/>
      <c r="G23" s="307">
        <f t="shared" ca="1" si="2"/>
        <v>18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3"/>
        <v>1</v>
      </c>
      <c r="AG23" s="236" t="str">
        <f t="shared" ca="1" si="4"/>
        <v/>
      </c>
      <c r="AH23" s="236" t="str">
        <f t="shared" ca="1" si="19"/>
        <v/>
      </c>
      <c r="AJ23" s="236">
        <f t="shared" ca="1" si="5"/>
        <v>21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6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26</v>
      </c>
      <c r="AW23" s="234">
        <f>COUNTIF( AV$7:AV23, AV23 )</f>
        <v>6</v>
      </c>
      <c r="AX23" s="287">
        <f t="shared" si="22"/>
        <v>26.6</v>
      </c>
      <c r="AY23" s="234">
        <f t="shared" si="23"/>
        <v>31</v>
      </c>
      <c r="AZ23" s="236"/>
      <c r="BA23" s="236"/>
      <c r="BC23" s="234">
        <f t="shared" ca="1" si="24"/>
        <v>17</v>
      </c>
      <c r="BD23" s="288">
        <f t="shared" ca="1" si="8"/>
        <v>13</v>
      </c>
      <c r="BF23" s="240" t="str">
        <f t="shared" ca="1" si="9"/>
        <v>DTE Energy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DTE</v>
      </c>
    </row>
    <row r="24" spans="1:61" ht="13.8" x14ac:dyDescent="0.25">
      <c r="A24" s="303" t="s">
        <v>32</v>
      </c>
      <c r="B24" s="304" t="s">
        <v>16</v>
      </c>
      <c r="C24" s="304">
        <v>19</v>
      </c>
      <c r="D24" s="304" t="s">
        <v>289</v>
      </c>
      <c r="E24" s="305" t="str">
        <f t="shared" ca="1" si="1"/>
        <v>R</v>
      </c>
      <c r="F24" s="306"/>
      <c r="G24" s="307">
        <f t="shared" ca="1" si="2"/>
        <v>19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3"/>
        <v>1</v>
      </c>
      <c r="AG24" s="236" t="str">
        <f t="shared" ca="1" si="4"/>
        <v/>
      </c>
      <c r="AH24" s="236" t="str">
        <f t="shared" ca="1" si="19"/>
        <v/>
      </c>
      <c r="AJ24" s="236">
        <f t="shared" ca="1" si="5"/>
        <v>22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6"/>
        <v/>
      </c>
      <c r="AQ24" s="286" t="s">
        <v>248</v>
      </c>
      <c r="AR24" s="286" t="s">
        <v>127</v>
      </c>
      <c r="AS24" s="286">
        <v>8</v>
      </c>
      <c r="AT24" s="286" t="s">
        <v>444</v>
      </c>
      <c r="AV24" s="234">
        <f t="shared" si="21"/>
        <v>52</v>
      </c>
      <c r="AW24" s="234">
        <f>COUNTIF( AV$7:AV24, AV24 )</f>
        <v>1</v>
      </c>
      <c r="AX24" s="287">
        <f t="shared" si="22"/>
        <v>52.1</v>
      </c>
      <c r="AY24" s="234">
        <f t="shared" si="23"/>
        <v>52</v>
      </c>
      <c r="AZ24" s="236"/>
      <c r="BA24" s="236"/>
      <c r="BC24" s="234">
        <f t="shared" ca="1" si="24"/>
        <v>18</v>
      </c>
      <c r="BD24" s="288">
        <f t="shared" ca="1" si="8"/>
        <v>14</v>
      </c>
      <c r="BF24" s="240" t="str">
        <f t="shared" ca="1" si="9"/>
        <v>Duke Energy Corporation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DUK</v>
      </c>
    </row>
    <row r="25" spans="1:61" ht="13.8" x14ac:dyDescent="0.25">
      <c r="A25" s="303" t="s">
        <v>12</v>
      </c>
      <c r="B25" s="304" t="s">
        <v>16</v>
      </c>
      <c r="C25" s="304">
        <v>19</v>
      </c>
      <c r="D25" s="304" t="s">
        <v>308</v>
      </c>
      <c r="E25" s="305" t="str">
        <f t="shared" ca="1" si="1"/>
        <v>D</v>
      </c>
      <c r="F25" s="306"/>
      <c r="G25" s="307">
        <f t="shared" ca="1" si="2"/>
        <v>30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3"/>
        <v>1</v>
      </c>
      <c r="AG25" s="236" t="str">
        <f t="shared" ca="1" si="4"/>
        <v/>
      </c>
      <c r="AH25" s="236" t="str">
        <f t="shared" ca="1" si="19"/>
        <v/>
      </c>
      <c r="AJ25" s="236">
        <f t="shared" ca="1" si="5"/>
        <v>23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6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26</v>
      </c>
      <c r="AW25" s="234">
        <f>COUNTIF( AV$7:AV25, AV25 )</f>
        <v>7</v>
      </c>
      <c r="AX25" s="287">
        <f t="shared" si="22"/>
        <v>26.7</v>
      </c>
      <c r="AY25" s="234">
        <f t="shared" si="23"/>
        <v>32</v>
      </c>
      <c r="AZ25" s="236"/>
      <c r="BA25" s="236"/>
      <c r="BC25" s="234">
        <f t="shared" ca="1" si="24"/>
        <v>19</v>
      </c>
      <c r="BD25" s="288">
        <f t="shared" ca="1" si="8"/>
        <v>28</v>
      </c>
      <c r="BF25" s="240" t="str">
        <f t="shared" ca="1" si="9"/>
        <v>MDU Resources Group,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MDU</v>
      </c>
    </row>
    <row r="26" spans="1:61" ht="13.8" x14ac:dyDescent="0.25">
      <c r="A26" s="303" t="s">
        <v>52</v>
      </c>
      <c r="B26" s="304" t="s">
        <v>16</v>
      </c>
      <c r="C26" s="304">
        <v>19</v>
      </c>
      <c r="D26" s="304" t="s">
        <v>446</v>
      </c>
      <c r="E26" s="305" t="str">
        <f t="shared" ca="1" si="1"/>
        <v>MR</v>
      </c>
      <c r="F26" s="306"/>
      <c r="G26" s="307">
        <f t="shared" ca="1" si="2"/>
        <v>62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3"/>
        <v>1</v>
      </c>
      <c r="AG26" s="236" t="str">
        <f t="shared" ca="1" si="4"/>
        <v/>
      </c>
      <c r="AH26" s="236" t="str">
        <f t="shared" ca="1" si="19"/>
        <v/>
      </c>
      <c r="AJ26" s="236">
        <f t="shared" ca="1" si="5"/>
        <v>24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6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26</v>
      </c>
      <c r="AW26" s="234">
        <f>COUNTIF( AV$7:AV26, AV26 )</f>
        <v>8</v>
      </c>
      <c r="AX26" s="287">
        <f t="shared" si="22"/>
        <v>26.8</v>
      </c>
      <c r="AY26" s="234">
        <f t="shared" si="23"/>
        <v>33</v>
      </c>
      <c r="AZ26" s="236"/>
      <c r="BA26" s="236"/>
      <c r="BC26" s="234">
        <f t="shared" ca="1" si="24"/>
        <v>20</v>
      </c>
      <c r="BD26" s="288">
        <f t="shared" ca="1" si="8"/>
        <v>29</v>
      </c>
      <c r="BF26" s="240" t="str">
        <f t="shared" ca="1" si="9"/>
        <v>MidAmerican Energy Holdings Company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**BRK</v>
      </c>
    </row>
    <row r="27" spans="1:61" ht="13.8" x14ac:dyDescent="0.25">
      <c r="A27" s="303" t="s">
        <v>23</v>
      </c>
      <c r="B27" s="304" t="s">
        <v>16</v>
      </c>
      <c r="C27" s="304">
        <v>19</v>
      </c>
      <c r="D27" s="304" t="s">
        <v>322</v>
      </c>
      <c r="E27" s="305" t="str">
        <f t="shared" ca="1" si="1"/>
        <v>MR</v>
      </c>
      <c r="F27" s="306"/>
      <c r="G27" s="307">
        <f t="shared" ca="1" si="2"/>
        <v>39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3"/>
        <v>1</v>
      </c>
      <c r="AG27" s="236" t="str">
        <f t="shared" ca="1" si="4"/>
        <v/>
      </c>
      <c r="AH27" s="236" t="str">
        <f t="shared" ca="1" si="19"/>
        <v/>
      </c>
      <c r="AJ27" s="236">
        <f t="shared" ca="1" si="5"/>
        <v>25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6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45</v>
      </c>
      <c r="AW27" s="234">
        <f>COUNTIF( AV$7:AV27, AV27 )</f>
        <v>2</v>
      </c>
      <c r="AX27" s="287">
        <f t="shared" si="22"/>
        <v>45.2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8"/>
        <v>36</v>
      </c>
      <c r="BF27" s="240" t="str">
        <f t="shared" ca="1" si="9"/>
        <v>Pepco Holdings,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POM</v>
      </c>
    </row>
    <row r="28" spans="1:61" ht="13.8" x14ac:dyDescent="0.25">
      <c r="A28" s="303" t="s">
        <v>45</v>
      </c>
      <c r="B28" s="304" t="s">
        <v>16</v>
      </c>
      <c r="C28" s="304">
        <v>19</v>
      </c>
      <c r="D28" s="304" t="s">
        <v>318</v>
      </c>
      <c r="E28" s="305" t="str">
        <f t="shared" ca="1" si="1"/>
        <v>MR</v>
      </c>
      <c r="F28" s="306"/>
      <c r="G28" s="307">
        <f t="shared" ca="1" si="2"/>
        <v>45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3"/>
        <v>1</v>
      </c>
      <c r="AG28" s="236" t="str">
        <f t="shared" ca="1" si="4"/>
        <v/>
      </c>
      <c r="AH28" s="236" t="str">
        <f t="shared" ca="1" si="19"/>
        <v/>
      </c>
      <c r="AJ28" s="236">
        <f t="shared" ca="1" si="5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6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26</v>
      </c>
      <c r="AW28" s="234">
        <f>COUNTIF( AV$7:AV28, AV28 )</f>
        <v>9</v>
      </c>
      <c r="AX28" s="287">
        <f t="shared" si="22"/>
        <v>26.9</v>
      </c>
      <c r="AY28" s="234">
        <f t="shared" si="23"/>
        <v>34</v>
      </c>
      <c r="AZ28" s="236"/>
      <c r="BA28" s="236"/>
      <c r="BC28" s="234">
        <f t="shared" ca="1" si="24"/>
        <v>22</v>
      </c>
      <c r="BD28" s="288">
        <f t="shared" ca="1" si="8"/>
        <v>42</v>
      </c>
      <c r="BF28" s="240" t="str">
        <f t="shared" ca="1" si="9"/>
        <v>Public Service Enterprise Group Incorporated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PEG</v>
      </c>
    </row>
    <row r="29" spans="1:61" ht="13.8" x14ac:dyDescent="0.25">
      <c r="A29" s="303" t="s">
        <v>13</v>
      </c>
      <c r="B29" s="304" t="s">
        <v>16</v>
      </c>
      <c r="C29" s="304">
        <v>19</v>
      </c>
      <c r="D29" s="304" t="s">
        <v>326</v>
      </c>
      <c r="E29" s="305" t="str">
        <f t="shared" ca="1" si="1"/>
        <v>MR</v>
      </c>
      <c r="F29" s="306"/>
      <c r="G29" s="307">
        <f t="shared" ca="1" si="2"/>
        <v>46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3"/>
        <v>1</v>
      </c>
      <c r="AG29" s="236" t="str">
        <f t="shared" ca="1" si="4"/>
        <v/>
      </c>
      <c r="AH29" s="236" t="str">
        <f t="shared" ca="1" si="19"/>
        <v/>
      </c>
      <c r="AJ29" s="236">
        <f t="shared" ca="1" si="5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6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45</v>
      </c>
      <c r="AW29" s="234">
        <f>COUNTIF( AV$7:AV29, AV29 )</f>
        <v>3</v>
      </c>
      <c r="AX29" s="287">
        <f t="shared" si="22"/>
        <v>45.3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8"/>
        <v>44</v>
      </c>
      <c r="BF29" s="240" t="str">
        <f t="shared" ca="1" si="9"/>
        <v>SCANA Corporation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SCG</v>
      </c>
    </row>
    <row r="30" spans="1:61" ht="13.8" x14ac:dyDescent="0.25">
      <c r="A30" s="303" t="s">
        <v>25</v>
      </c>
      <c r="B30" s="304" t="s">
        <v>16</v>
      </c>
      <c r="C30" s="304">
        <v>19</v>
      </c>
      <c r="D30" s="304" t="s">
        <v>328</v>
      </c>
      <c r="E30" s="305" t="str">
        <f t="shared" ca="1" si="1"/>
        <v>MR</v>
      </c>
      <c r="F30" s="306"/>
      <c r="G30" s="307">
        <f t="shared" ca="1" si="2"/>
        <v>47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3"/>
        <v>1</v>
      </c>
      <c r="AG30" s="236" t="str">
        <f t="shared" ca="1" si="4"/>
        <v/>
      </c>
      <c r="AH30" s="236" t="str">
        <f t="shared" ca="1" si="19"/>
        <v/>
      </c>
      <c r="AJ30" s="236">
        <f t="shared" ca="1" si="5"/>
        <v>29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6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26</v>
      </c>
      <c r="AW30" s="234">
        <f>COUNTIF( AV$7:AV30, AV30 )</f>
        <v>10</v>
      </c>
      <c r="AX30" s="287">
        <f t="shared" si="22"/>
        <v>27</v>
      </c>
      <c r="AY30" s="234">
        <f t="shared" si="23"/>
        <v>35</v>
      </c>
      <c r="AZ30" s="236"/>
      <c r="BA30" s="236"/>
      <c r="BC30" s="234">
        <f t="shared" ca="1" si="24"/>
        <v>24</v>
      </c>
      <c r="BD30" s="288">
        <f t="shared" ca="1" si="8"/>
        <v>45</v>
      </c>
      <c r="BF30" s="240" t="str">
        <f t="shared" ca="1" si="9"/>
        <v>Sempra Energy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SRE</v>
      </c>
    </row>
    <row r="31" spans="1:61" ht="13.8" x14ac:dyDescent="0.25">
      <c r="A31" s="303" t="s">
        <v>62</v>
      </c>
      <c r="B31" s="304" t="s">
        <v>16</v>
      </c>
      <c r="C31" s="304">
        <v>19</v>
      </c>
      <c r="D31" s="304" t="s">
        <v>329</v>
      </c>
      <c r="E31" s="305" t="str">
        <f t="shared" ca="1" si="1"/>
        <v>R</v>
      </c>
      <c r="F31" s="306"/>
      <c r="G31" s="307">
        <f t="shared" ca="1" si="2"/>
        <v>49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3"/>
        <v>1</v>
      </c>
      <c r="AG31" s="236" t="str">
        <f t="shared" ca="1" si="4"/>
        <v/>
      </c>
      <c r="AH31" s="236" t="str">
        <f t="shared" ca="1" si="19"/>
        <v/>
      </c>
      <c r="AJ31" s="236">
        <f t="shared" ca="1" si="5"/>
        <v>30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6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26</v>
      </c>
      <c r="AW31" s="234">
        <f>COUNTIF( AV$7:AV31, AV31 )</f>
        <v>11</v>
      </c>
      <c r="AX31" s="287">
        <f t="shared" si="22"/>
        <v>27.1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8"/>
        <v>47</v>
      </c>
      <c r="BF31" s="240" t="str">
        <f t="shared" ca="1" si="9"/>
        <v>TECO Energy, Inc.</v>
      </c>
      <c r="BG31" s="240" t="str">
        <f t="shared" ca="1" si="9"/>
        <v>BBB+</v>
      </c>
      <c r="BH31" s="240">
        <f t="shared" ca="1" si="9"/>
        <v>19</v>
      </c>
      <c r="BI31" s="240" t="str">
        <f t="shared" ca="1" si="9"/>
        <v>TE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1"/>
        <v>R</v>
      </c>
      <c r="F32" s="306"/>
      <c r="G32" s="307">
        <f t="shared" ca="1" si="2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3"/>
        <v>0</v>
      </c>
      <c r="AG32" s="236" t="str">
        <f t="shared" ca="1" si="4"/>
        <v/>
      </c>
      <c r="AH32" s="236" t="str">
        <f t="shared" ca="1" si="19"/>
        <v/>
      </c>
      <c r="AJ32" s="236">
        <f t="shared" ca="1" si="5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6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8"/>
        <v>4</v>
      </c>
      <c r="BF32" s="240" t="str">
        <f t="shared" ca="1" si="9"/>
        <v>American Electric Power Company, Inc.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1"/>
        <v>R</v>
      </c>
      <c r="F33" s="306"/>
      <c r="G33" s="307">
        <f t="shared" ca="1" si="2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3"/>
        <v>0</v>
      </c>
      <c r="AG33" s="236" t="str">
        <f t="shared" ca="1" si="4"/>
        <v/>
      </c>
      <c r="AH33" s="236" t="str">
        <f t="shared" ca="1" si="19"/>
        <v/>
      </c>
      <c r="AJ33" s="236">
        <f t="shared" ca="1" si="5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6"/>
        <v/>
      </c>
      <c r="AQ33" s="286" t="s">
        <v>58</v>
      </c>
      <c r="AR33" s="286" t="s">
        <v>56</v>
      </c>
      <c r="AS33" s="286">
        <v>16</v>
      </c>
      <c r="AT33" s="286" t="s">
        <v>445</v>
      </c>
      <c r="AV33" s="234">
        <f t="shared" si="21"/>
        <v>50</v>
      </c>
      <c r="AW33" s="234">
        <f>COUNTIF( AV$7:AV33, AV33 )</f>
        <v>1</v>
      </c>
      <c r="AX33" s="287">
        <f t="shared" si="22"/>
        <v>50.1</v>
      </c>
      <c r="AY33" s="234">
        <f t="shared" si="23"/>
        <v>50</v>
      </c>
      <c r="AZ33" s="236"/>
      <c r="BA33" s="236"/>
      <c r="BC33" s="234">
        <f t="shared" ca="1" si="24"/>
        <v>27</v>
      </c>
      <c r="BD33" s="288">
        <f t="shared" ca="1" si="8"/>
        <v>5</v>
      </c>
      <c r="BF33" s="240" t="str">
        <f t="shared" ca="1" si="9"/>
        <v>Avista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1"/>
        <v>R</v>
      </c>
      <c r="F34" s="306"/>
      <c r="G34" s="307">
        <f t="shared" ca="1" si="2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3"/>
        <v>0</v>
      </c>
      <c r="AG34" s="236" t="str">
        <f t="shared" ca="1" si="4"/>
        <v/>
      </c>
      <c r="AH34" s="236" t="str">
        <f t="shared" ca="1" si="19"/>
        <v/>
      </c>
      <c r="AJ34" s="236">
        <f t="shared" ca="1" si="5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6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14</v>
      </c>
      <c r="AW34" s="234">
        <f>COUNTIF( AV$7:AV34, AV34 )</f>
        <v>6</v>
      </c>
      <c r="AX34" s="287">
        <f t="shared" si="22"/>
        <v>14.6</v>
      </c>
      <c r="AY34" s="234">
        <f t="shared" si="23"/>
        <v>19</v>
      </c>
      <c r="AZ34" s="236"/>
      <c r="BA34" s="236"/>
      <c r="BC34" s="234">
        <f t="shared" ca="1" si="24"/>
        <v>28</v>
      </c>
      <c r="BD34" s="288">
        <f t="shared" ca="1" si="8"/>
        <v>6</v>
      </c>
      <c r="BF34" s="240" t="str">
        <f t="shared" ca="1" si="9"/>
        <v>Black Hills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1"/>
        <v>R</v>
      </c>
      <c r="F35" s="306"/>
      <c r="G35" s="307">
        <f t="shared" ca="1" si="2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3"/>
        <v>0</v>
      </c>
      <c r="AG35" s="236" t="str">
        <f t="shared" ca="1" si="4"/>
        <v/>
      </c>
      <c r="AH35" s="236" t="str">
        <f t="shared" ca="1" si="19"/>
        <v/>
      </c>
      <c r="AJ35" s="236">
        <f t="shared" ca="1" si="5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6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14</v>
      </c>
      <c r="AW35" s="234">
        <f>COUNTIF( AV$7:AV35, AV35 )</f>
        <v>7</v>
      </c>
      <c r="AX35" s="287">
        <f t="shared" si="22"/>
        <v>14.7</v>
      </c>
      <c r="AY35" s="234">
        <f t="shared" si="23"/>
        <v>20</v>
      </c>
      <c r="AZ35" s="236"/>
      <c r="BA35" s="236"/>
      <c r="BC35" s="234">
        <f t="shared" ca="1" si="24"/>
        <v>29</v>
      </c>
      <c r="BD35" s="288">
        <f t="shared" ca="1" si="8"/>
        <v>9</v>
      </c>
      <c r="BF35" s="240" t="str">
        <f t="shared" ca="1" si="9"/>
        <v>CMS Energy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1"/>
        <v>R</v>
      </c>
      <c r="F36" s="306"/>
      <c r="G36" s="307">
        <f t="shared" ca="1" si="2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3"/>
        <v>0</v>
      </c>
      <c r="AG36" s="236" t="str">
        <f t="shared" ca="1" si="4"/>
        <v/>
      </c>
      <c r="AH36" s="236" t="str">
        <f t="shared" ca="1" si="19"/>
        <v/>
      </c>
      <c r="AJ36" s="236">
        <f t="shared" ca="1" si="5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6"/>
        <v/>
      </c>
      <c r="AQ36" s="286" t="s">
        <v>369</v>
      </c>
      <c r="AR36" s="286" t="s">
        <v>10</v>
      </c>
      <c r="AS36" s="286">
        <v>20</v>
      </c>
      <c r="AT36" s="289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8"/>
        <v>16</v>
      </c>
      <c r="BF36" s="240" t="str">
        <f t="shared" ca="1" si="9"/>
        <v>El Paso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1"/>
        <v>R</v>
      </c>
      <c r="F37" s="306"/>
      <c r="G37" s="307">
        <f t="shared" ca="1" si="2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3"/>
        <v>0</v>
      </c>
      <c r="AG37" s="236" t="str">
        <f t="shared" ca="1" si="4"/>
        <v/>
      </c>
      <c r="AH37" s="236" t="str">
        <f t="shared" ca="1" si="19"/>
        <v/>
      </c>
      <c r="AJ37" s="236">
        <f t="shared" ca="1" si="5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6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45</v>
      </c>
      <c r="AW37" s="234">
        <f>COUNTIF( AV$7:AV37, AV37 )</f>
        <v>4</v>
      </c>
      <c r="AX37" s="287">
        <f t="shared" si="22"/>
        <v>45.4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8"/>
        <v>17</v>
      </c>
      <c r="BF37" s="240" t="str">
        <f t="shared" ca="1" si="9"/>
        <v>Empire District Electric Company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1"/>
        <v>R</v>
      </c>
      <c r="F38" s="306"/>
      <c r="G38" s="307">
        <f t="shared" ca="1" si="2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3"/>
        <v>0</v>
      </c>
      <c r="AG38" s="236" t="str">
        <f t="shared" ca="1" si="4"/>
        <v/>
      </c>
      <c r="AH38" s="236" t="str">
        <f t="shared" ca="1" si="19"/>
        <v/>
      </c>
      <c r="AJ38" s="236">
        <f t="shared" ca="1" si="5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6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8"/>
        <v>19</v>
      </c>
      <c r="BF38" s="240" t="str">
        <f t="shared" ca="1" si="9"/>
        <v>Entergy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1"/>
        <v>MR</v>
      </c>
      <c r="F39" s="306"/>
      <c r="G39" s="307">
        <f t="shared" ca="1" si="2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3"/>
        <v>0</v>
      </c>
      <c r="AG39" s="236" t="str">
        <f t="shared" ca="1" si="4"/>
        <v/>
      </c>
      <c r="AH39" s="236" t="str">
        <f t="shared" ca="1" si="19"/>
        <v/>
      </c>
      <c r="AJ39" s="236">
        <f t="shared" ca="1" si="5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6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26</v>
      </c>
      <c r="AW39" s="234">
        <f>COUNTIF( AV$7:AV39, AV39 )</f>
        <v>12</v>
      </c>
      <c r="AX39" s="287">
        <f t="shared" si="22"/>
        <v>27.2</v>
      </c>
      <c r="AY39" s="234">
        <f t="shared" si="23"/>
        <v>37</v>
      </c>
      <c r="AZ39" s="236"/>
      <c r="BA39" s="236"/>
      <c r="BC39" s="234">
        <f t="shared" ca="1" si="24"/>
        <v>33</v>
      </c>
      <c r="BD39" s="288">
        <f t="shared" ca="1" si="8"/>
        <v>20</v>
      </c>
      <c r="BF39" s="240" t="str">
        <f t="shared" ref="BF39:BI63" ca="1" si="25">OFFSET( AQ$6, $BD39, 0 )</f>
        <v>Exelon Corporation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1"/>
        <v>R</v>
      </c>
      <c r="F40" s="306"/>
      <c r="G40" s="307">
        <f t="shared" ca="1" si="2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3"/>
        <v>0</v>
      </c>
      <c r="AG40" s="236" t="str">
        <f t="shared" ca="1" si="4"/>
        <v/>
      </c>
      <c r="AH40" s="236" t="str">
        <f t="shared" ca="1" si="19"/>
        <v/>
      </c>
      <c r="AJ40" s="236">
        <f t="shared" ca="1" si="5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6"/>
        <v/>
      </c>
      <c r="AQ40" s="286" t="s">
        <v>21</v>
      </c>
      <c r="AR40" s="286" t="s">
        <v>10</v>
      </c>
      <c r="AS40" s="286">
        <v>20</v>
      </c>
      <c r="AT40" s="286" t="s">
        <v>315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8"/>
        <v>22</v>
      </c>
      <c r="BF40" s="240" t="str">
        <f t="shared" ca="1" si="25"/>
        <v>Great Plains Energy Inc.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1"/>
        <v>R</v>
      </c>
      <c r="F41" s="306"/>
      <c r="G41" s="307">
        <f t="shared" ca="1" si="2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3"/>
        <v>0</v>
      </c>
      <c r="AG41" s="236" t="str">
        <f t="shared" ca="1" si="4"/>
        <v/>
      </c>
      <c r="AH41" s="236" t="str">
        <f t="shared" ca="1" si="19"/>
        <v/>
      </c>
      <c r="AJ41" s="236">
        <f t="shared" ca="1" si="5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6"/>
        <v/>
      </c>
      <c r="AQ41" s="286" t="s">
        <v>22</v>
      </c>
      <c r="AR41" s="286" t="s">
        <v>28</v>
      </c>
      <c r="AS41" s="286">
        <v>18</v>
      </c>
      <c r="AT41" s="286" t="s">
        <v>316</v>
      </c>
      <c r="AV41" s="234">
        <f t="shared" si="21"/>
        <v>26</v>
      </c>
      <c r="AW41" s="234">
        <f>COUNTIF( AV$7:AV41, AV41 )</f>
        <v>13</v>
      </c>
      <c r="AX41" s="287">
        <f t="shared" si="22"/>
        <v>27.3</v>
      </c>
      <c r="AY41" s="234">
        <f t="shared" si="23"/>
        <v>38</v>
      </c>
      <c r="AZ41" s="236"/>
      <c r="BA41" s="236"/>
      <c r="BC41" s="234">
        <f t="shared" ca="1" si="24"/>
        <v>35</v>
      </c>
      <c r="BD41" s="288">
        <f t="shared" ca="1" si="8"/>
        <v>24</v>
      </c>
      <c r="BF41" s="240" t="str">
        <f t="shared" ca="1" si="25"/>
        <v>Iberdrola USA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1"/>
        <v>R</v>
      </c>
      <c r="F42" s="306"/>
      <c r="G42" s="307">
        <f t="shared" ca="1" si="2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3"/>
        <v>0</v>
      </c>
      <c r="AG42" s="236" t="str">
        <f t="shared" ca="1" si="4"/>
        <v/>
      </c>
      <c r="AH42" s="236" t="str">
        <f t="shared" ca="1" si="19"/>
        <v/>
      </c>
      <c r="AJ42" s="236">
        <f t="shared" ca="1" si="5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6"/>
        <v/>
      </c>
      <c r="AQ42" s="286" t="s">
        <v>23</v>
      </c>
      <c r="AR42" s="286" t="s">
        <v>16</v>
      </c>
      <c r="AS42" s="286">
        <v>19</v>
      </c>
      <c r="AT42" s="286" t="s">
        <v>322</v>
      </c>
      <c r="AV42" s="234">
        <f t="shared" si="21"/>
        <v>14</v>
      </c>
      <c r="AW42" s="234">
        <f>COUNTIF( AV$7:AV42, AV42 )</f>
        <v>8</v>
      </c>
      <c r="AX42" s="287">
        <f t="shared" si="22"/>
        <v>14.8</v>
      </c>
      <c r="AY42" s="234">
        <f t="shared" si="23"/>
        <v>21</v>
      </c>
      <c r="AZ42" s="236"/>
      <c r="BA42" s="236"/>
      <c r="BC42" s="234">
        <f t="shared" ca="1" si="24"/>
        <v>36</v>
      </c>
      <c r="BD42" s="288">
        <f t="shared" ca="1" si="8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1"/>
        <v>R</v>
      </c>
      <c r="F43" s="306"/>
      <c r="G43" s="307">
        <f t="shared" ca="1" si="2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3"/>
        <v>0</v>
      </c>
      <c r="AG43" s="236" t="str">
        <f t="shared" ca="1" si="4"/>
        <v/>
      </c>
      <c r="AH43" s="236" t="str">
        <f t="shared" ca="1" si="19"/>
        <v/>
      </c>
      <c r="AJ43" s="236">
        <f t="shared" ca="1" si="5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6"/>
        <v/>
      </c>
      <c r="AQ43" s="286" t="s">
        <v>53</v>
      </c>
      <c r="AR43" s="286" t="s">
        <v>28</v>
      </c>
      <c r="AS43" s="286">
        <v>18</v>
      </c>
      <c r="AT43" s="286" t="s">
        <v>317</v>
      </c>
      <c r="AV43" s="234">
        <f t="shared" si="21"/>
        <v>26</v>
      </c>
      <c r="AW43" s="234">
        <f>COUNTIF( AV$7:AV43, AV43 )</f>
        <v>14</v>
      </c>
      <c r="AX43" s="287">
        <f t="shared" si="22"/>
        <v>27.4</v>
      </c>
      <c r="AY43" s="234">
        <f t="shared" si="23"/>
        <v>39</v>
      </c>
      <c r="AZ43" s="236"/>
      <c r="BA43" s="236"/>
      <c r="BC43" s="234">
        <f t="shared" ca="1" si="24"/>
        <v>37</v>
      </c>
      <c r="BD43" s="288">
        <f t="shared" ca="1" si="8"/>
        <v>33</v>
      </c>
      <c r="BF43" s="240" t="str">
        <f t="shared" ca="1" si="25"/>
        <v>NorthWestern Corporation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1"/>
        <v>MR</v>
      </c>
      <c r="F44" s="306"/>
      <c r="G44" s="307">
        <f t="shared" ca="1" si="2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3"/>
        <v>0</v>
      </c>
      <c r="AG44" s="236" t="str">
        <f t="shared" ca="1" si="4"/>
        <v/>
      </c>
      <c r="AH44" s="236" t="str">
        <f t="shared" ca="1" si="19"/>
        <v/>
      </c>
      <c r="AJ44" s="236">
        <f t="shared" ca="1" si="5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6"/>
        <v/>
      </c>
      <c r="AQ44" s="286" t="s">
        <v>41</v>
      </c>
      <c r="AR44" s="286" t="s">
        <v>10</v>
      </c>
      <c r="AS44" s="286">
        <v>20</v>
      </c>
      <c r="AT44" s="286" t="s">
        <v>321</v>
      </c>
      <c r="AV44" s="234">
        <f t="shared" si="21"/>
        <v>2</v>
      </c>
      <c r="AW44" s="234">
        <f>COUNTIF( AV$7:AV44, AV44 )</f>
        <v>9</v>
      </c>
      <c r="AX44" s="287">
        <f t="shared" si="22"/>
        <v>2.9</v>
      </c>
      <c r="AY44" s="234">
        <f t="shared" si="23"/>
        <v>10</v>
      </c>
      <c r="AZ44" s="236"/>
      <c r="BA44" s="236"/>
      <c r="BC44" s="234">
        <f t="shared" ca="1" si="24"/>
        <v>38</v>
      </c>
      <c r="BD44" s="288">
        <f t="shared" ca="1" si="8"/>
        <v>35</v>
      </c>
      <c r="BF44" s="240" t="str">
        <f t="shared" ca="1" si="25"/>
        <v>Otter Tail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1"/>
        <v>R</v>
      </c>
      <c r="F45" s="306"/>
      <c r="G45" s="307">
        <f t="shared" ca="1" si="2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3"/>
        <v>0</v>
      </c>
      <c r="AG45" s="236" t="str">
        <f t="shared" ca="1" si="4"/>
        <v/>
      </c>
      <c r="AH45" s="236" t="str">
        <f t="shared" ca="1" si="19"/>
        <v/>
      </c>
      <c r="AJ45" s="236">
        <f t="shared" ca="1" si="5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6"/>
        <v/>
      </c>
      <c r="AQ45" s="286" t="s">
        <v>42</v>
      </c>
      <c r="AR45" s="286" t="s">
        <v>28</v>
      </c>
      <c r="AS45" s="286">
        <v>18</v>
      </c>
      <c r="AT45" s="286" t="s">
        <v>320</v>
      </c>
      <c r="AV45" s="234">
        <f t="shared" si="21"/>
        <v>26</v>
      </c>
      <c r="AW45" s="234">
        <f>COUNTIF( AV$7:AV45, AV45 )</f>
        <v>15</v>
      </c>
      <c r="AX45" s="287">
        <f t="shared" si="22"/>
        <v>27.5</v>
      </c>
      <c r="AY45" s="234">
        <f t="shared" si="23"/>
        <v>40</v>
      </c>
      <c r="AZ45" s="236"/>
      <c r="BA45" s="236"/>
      <c r="BC45" s="234">
        <f t="shared" ca="1" si="24"/>
        <v>39</v>
      </c>
      <c r="BD45" s="288">
        <f t="shared" ca="1" si="8"/>
        <v>37</v>
      </c>
      <c r="BF45" s="240" t="str">
        <f t="shared" ca="1" si="25"/>
        <v>PG&amp;E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1"/>
        <v>R</v>
      </c>
      <c r="F46" s="306"/>
      <c r="G46" s="307">
        <f t="shared" ca="1" si="2"/>
        <v>42</v>
      </c>
      <c r="H46" s="250"/>
      <c r="I46" s="262"/>
      <c r="K46" s="262"/>
      <c r="N46" s="257"/>
      <c r="W46" s="262"/>
      <c r="AF46" s="236">
        <f t="shared" si="3"/>
        <v>0</v>
      </c>
      <c r="AG46" s="236" t="str">
        <f t="shared" ca="1" si="4"/>
        <v/>
      </c>
      <c r="AH46" s="236" t="str">
        <f t="shared" ca="1" si="19"/>
        <v/>
      </c>
      <c r="AJ46" s="236">
        <f t="shared" ca="1" si="5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6"/>
        <v/>
      </c>
      <c r="AQ46" s="286" t="s">
        <v>24</v>
      </c>
      <c r="AR46" s="286" t="s">
        <v>28</v>
      </c>
      <c r="AS46" s="286">
        <v>18</v>
      </c>
      <c r="AT46" s="289" t="s">
        <v>323</v>
      </c>
      <c r="AV46" s="234">
        <f t="shared" si="21"/>
        <v>26</v>
      </c>
      <c r="AW46" s="234">
        <f>COUNTIF( AV$7:AV46, AV46 )</f>
        <v>16</v>
      </c>
      <c r="AX46" s="287">
        <f t="shared" si="22"/>
        <v>27.6</v>
      </c>
      <c r="AY46" s="234">
        <f t="shared" si="23"/>
        <v>41</v>
      </c>
      <c r="AZ46" s="236"/>
      <c r="BA46" s="236"/>
      <c r="BC46" s="234">
        <f t="shared" ca="1" si="24"/>
        <v>40</v>
      </c>
      <c r="BD46" s="288">
        <f t="shared" ca="1" si="8"/>
        <v>39</v>
      </c>
      <c r="BF46" s="240" t="str">
        <f t="shared" ca="1" si="25"/>
        <v>PNM Resources, Inc.</v>
      </c>
      <c r="BG46" s="240" t="str">
        <f t="shared" ca="1" si="25"/>
        <v>BBB</v>
      </c>
      <c r="BH46" s="240">
        <f t="shared" ca="1" si="25"/>
        <v>18</v>
      </c>
      <c r="BI46" s="240" t="str">
        <f t="shared" ca="1" si="25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1"/>
        <v>R</v>
      </c>
      <c r="F47" s="306"/>
      <c r="G47" s="307">
        <f t="shared" ca="1" si="2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3"/>
        <v>0</v>
      </c>
      <c r="AG47" s="236" t="str">
        <f t="shared" ca="1" si="4"/>
        <v/>
      </c>
      <c r="AH47" s="236" t="str">
        <f t="shared" ca="1" si="19"/>
        <v/>
      </c>
      <c r="AJ47" s="236">
        <f t="shared" ca="1" si="5"/>
        <v>47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6"/>
        <v/>
      </c>
      <c r="AQ47" s="286" t="s">
        <v>43</v>
      </c>
      <c r="AR47" s="286" t="s">
        <v>28</v>
      </c>
      <c r="AS47" s="286">
        <v>18</v>
      </c>
      <c r="AT47" s="286" t="s">
        <v>324</v>
      </c>
      <c r="AV47" s="234">
        <f t="shared" si="21"/>
        <v>26</v>
      </c>
      <c r="AW47" s="234">
        <f>COUNTIF( AV$7:AV47, AV47 )</f>
        <v>17</v>
      </c>
      <c r="AX47" s="287">
        <f t="shared" si="22"/>
        <v>27.7</v>
      </c>
      <c r="AY47" s="234">
        <f t="shared" si="23"/>
        <v>42</v>
      </c>
      <c r="AZ47" s="236"/>
      <c r="BA47" s="236"/>
      <c r="BC47" s="234">
        <f t="shared" ca="1" si="24"/>
        <v>41</v>
      </c>
      <c r="BD47" s="288">
        <f t="shared" ca="1" si="8"/>
        <v>40</v>
      </c>
      <c r="BF47" s="240" t="str">
        <f t="shared" ca="1" si="25"/>
        <v>Portland General Electric Company</v>
      </c>
      <c r="BG47" s="240" t="str">
        <f t="shared" ca="1" si="25"/>
        <v>BBB</v>
      </c>
      <c r="BH47" s="240">
        <f t="shared" ca="1" si="25"/>
        <v>18</v>
      </c>
      <c r="BI47" s="240" t="str">
        <f t="shared" ca="1" si="25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1"/>
        <v>MR</v>
      </c>
      <c r="F48" s="306"/>
      <c r="G48" s="307">
        <f t="shared" ca="1" si="2"/>
        <v>44</v>
      </c>
      <c r="H48" s="250"/>
      <c r="I48" s="250"/>
      <c r="K48" s="262"/>
      <c r="M48" s="253"/>
      <c r="N48" s="253"/>
      <c r="AF48" s="236">
        <f t="shared" si="3"/>
        <v>0</v>
      </c>
      <c r="AG48" s="236" t="str">
        <f t="shared" ca="1" si="4"/>
        <v/>
      </c>
      <c r="AH48" s="236" t="str">
        <f t="shared" ca="1" si="19"/>
        <v/>
      </c>
      <c r="AJ48" s="236">
        <f t="shared" ca="1" si="5"/>
        <v>48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6"/>
        <v/>
      </c>
      <c r="AQ48" s="286" t="s">
        <v>45</v>
      </c>
      <c r="AR48" s="286" t="s">
        <v>16</v>
      </c>
      <c r="AS48" s="286">
        <v>19</v>
      </c>
      <c r="AT48" s="286" t="s">
        <v>318</v>
      </c>
      <c r="AV48" s="234">
        <f t="shared" si="21"/>
        <v>14</v>
      </c>
      <c r="AW48" s="234">
        <f>COUNTIF( AV$7:AV48, AV48 )</f>
        <v>9</v>
      </c>
      <c r="AX48" s="287">
        <f t="shared" si="22"/>
        <v>14.9</v>
      </c>
      <c r="AY48" s="234">
        <f t="shared" si="23"/>
        <v>22</v>
      </c>
      <c r="AZ48" s="236"/>
      <c r="BA48" s="236"/>
      <c r="BC48" s="234">
        <f t="shared" ca="1" si="24"/>
        <v>42</v>
      </c>
      <c r="BD48" s="288">
        <f t="shared" ca="1" si="8"/>
        <v>41</v>
      </c>
      <c r="BF48" s="240" t="str">
        <f t="shared" ca="1" si="25"/>
        <v>PPL Corporation</v>
      </c>
      <c r="BG48" s="240" t="str">
        <f t="shared" ca="1" si="25"/>
        <v>BBB</v>
      </c>
      <c r="BH48" s="240">
        <f t="shared" ca="1" si="25"/>
        <v>18</v>
      </c>
      <c r="BI48" s="240" t="str">
        <f t="shared" ca="1" si="25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1"/>
        <v>R</v>
      </c>
      <c r="F49" s="306"/>
      <c r="G49" s="307">
        <f t="shared" ca="1" si="2"/>
        <v>50</v>
      </c>
      <c r="H49" s="250"/>
      <c r="I49" s="250"/>
      <c r="J49" s="262"/>
      <c r="K49" s="262"/>
      <c r="M49" s="253"/>
      <c r="N49" s="253"/>
      <c r="AF49" s="236">
        <f t="shared" si="3"/>
        <v>0</v>
      </c>
      <c r="AG49" s="236" t="str">
        <f t="shared" ca="1" si="4"/>
        <v/>
      </c>
      <c r="AH49" s="236" t="str">
        <f t="shared" ca="1" si="19"/>
        <v/>
      </c>
      <c r="AJ49" s="236">
        <f t="shared" ca="1" si="5"/>
        <v>49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6"/>
        <v/>
      </c>
      <c r="AQ49" s="286" t="s">
        <v>54</v>
      </c>
      <c r="AR49" s="286" t="s">
        <v>49</v>
      </c>
      <c r="AS49" s="286">
        <v>17</v>
      </c>
      <c r="AT49" s="286" t="s">
        <v>448</v>
      </c>
      <c r="AV49" s="234">
        <f t="shared" si="21"/>
        <v>45</v>
      </c>
      <c r="AW49" s="234">
        <f>COUNTIF( AV$7:AV49, AV49 )</f>
        <v>5</v>
      </c>
      <c r="AX49" s="287">
        <f t="shared" si="22"/>
        <v>45.5</v>
      </c>
      <c r="AY49" s="234">
        <f t="shared" si="23"/>
        <v>49</v>
      </c>
      <c r="AZ49" s="236"/>
      <c r="BA49" s="236"/>
      <c r="BC49" s="234">
        <f t="shared" ca="1" si="24"/>
        <v>43</v>
      </c>
      <c r="BD49" s="288">
        <f t="shared" ca="1" si="8"/>
        <v>48</v>
      </c>
      <c r="BF49" s="240" t="str">
        <f t="shared" ca="1" si="25"/>
        <v>UIL Holdings Corporation</v>
      </c>
      <c r="BG49" s="240" t="str">
        <f t="shared" ca="1" si="25"/>
        <v>BBB</v>
      </c>
      <c r="BH49" s="240">
        <f t="shared" ca="1" si="25"/>
        <v>18</v>
      </c>
      <c r="BI49" s="240" t="str">
        <f t="shared" ca="1" si="25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1"/>
        <v>R</v>
      </c>
      <c r="F50" s="306"/>
      <c r="G50" s="307">
        <f t="shared" ca="1" si="2"/>
        <v>54</v>
      </c>
      <c r="H50" s="250"/>
      <c r="I50" s="250"/>
      <c r="J50" s="262"/>
      <c r="K50" s="262"/>
      <c r="L50" s="235"/>
      <c r="M50" s="257"/>
      <c r="N50" s="257"/>
      <c r="AF50" s="236">
        <f t="shared" si="3"/>
        <v>0</v>
      </c>
      <c r="AG50" s="236" t="str">
        <f t="shared" ca="1" si="4"/>
        <v/>
      </c>
      <c r="AH50" s="236" t="str">
        <f t="shared" ca="1" si="19"/>
        <v/>
      </c>
      <c r="AJ50" s="236">
        <f t="shared" ca="1" si="5"/>
        <v>50</v>
      </c>
      <c r="AK50" s="236" t="str">
        <f t="shared" ca="1" si="20"/>
        <v>BBB</v>
      </c>
      <c r="AL50" s="236">
        <f t="shared" ca="1" si="20"/>
        <v>18</v>
      </c>
      <c r="AM50" s="236" t="str">
        <f t="shared" ca="1" si="6"/>
        <v/>
      </c>
      <c r="AQ50" s="286" t="s">
        <v>13</v>
      </c>
      <c r="AR50" s="286" t="s">
        <v>16</v>
      </c>
      <c r="AS50" s="286">
        <v>19</v>
      </c>
      <c r="AT50" s="286" t="s">
        <v>326</v>
      </c>
      <c r="AV50" s="234">
        <f t="shared" si="21"/>
        <v>14</v>
      </c>
      <c r="AW50" s="234">
        <f>COUNTIF( AV$7:AV50, AV50 )</f>
        <v>10</v>
      </c>
      <c r="AX50" s="287">
        <f t="shared" si="22"/>
        <v>15</v>
      </c>
      <c r="AY50" s="234">
        <f t="shared" si="23"/>
        <v>23</v>
      </c>
      <c r="AZ50" s="236"/>
      <c r="BA50" s="236"/>
      <c r="BC50" s="234">
        <f t="shared" ca="1" si="24"/>
        <v>44</v>
      </c>
      <c r="BD50" s="288">
        <f t="shared" ca="1" si="8"/>
        <v>50</v>
      </c>
      <c r="BF50" s="240" t="str">
        <f t="shared" ca="1" si="25"/>
        <v>Westar Energy, Inc.</v>
      </c>
      <c r="BG50" s="240" t="str">
        <f t="shared" ca="1" si="25"/>
        <v>BBB</v>
      </c>
      <c r="BH50" s="240">
        <f t="shared" ca="1" si="25"/>
        <v>18</v>
      </c>
      <c r="BI50" s="240" t="str">
        <f t="shared" ca="1" si="25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1"/>
        <v>R</v>
      </c>
      <c r="F51" s="306"/>
      <c r="G51" s="307">
        <f t="shared" ca="1" si="2"/>
        <v>20</v>
      </c>
      <c r="H51" s="250"/>
      <c r="I51" s="250"/>
      <c r="J51" s="262"/>
      <c r="K51" s="262"/>
      <c r="L51" s="235"/>
      <c r="M51" s="257"/>
      <c r="N51" s="257"/>
      <c r="AF51" s="236">
        <f t="shared" si="3"/>
        <v>1</v>
      </c>
      <c r="AG51" s="236" t="str">
        <f t="shared" ca="1" si="4"/>
        <v/>
      </c>
      <c r="AH51" s="236" t="str">
        <f t="shared" ca="1" si="19"/>
        <v/>
      </c>
      <c r="AJ51" s="236">
        <f t="shared" ca="1" si="5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6"/>
        <v/>
      </c>
      <c r="AQ51" s="286" t="s">
        <v>25</v>
      </c>
      <c r="AR51" s="286" t="s">
        <v>16</v>
      </c>
      <c r="AS51" s="286">
        <v>19</v>
      </c>
      <c r="AT51" s="286" t="s">
        <v>328</v>
      </c>
      <c r="AV51" s="234">
        <f t="shared" si="21"/>
        <v>14</v>
      </c>
      <c r="AW51" s="234">
        <f>COUNTIF( AV$7:AV51, AV51 )</f>
        <v>11</v>
      </c>
      <c r="AX51" s="287">
        <f t="shared" si="22"/>
        <v>15.1</v>
      </c>
      <c r="AY51" s="234">
        <f t="shared" si="23"/>
        <v>24</v>
      </c>
      <c r="AZ51" s="236"/>
      <c r="BA51" s="236"/>
      <c r="BC51" s="234">
        <f t="shared" ca="1" si="24"/>
        <v>45</v>
      </c>
      <c r="BD51" s="288">
        <f t="shared" ca="1" si="8"/>
        <v>15</v>
      </c>
      <c r="BF51" s="240" t="str">
        <f t="shared" ca="1" si="25"/>
        <v>Edison International</v>
      </c>
      <c r="BG51" s="240" t="str">
        <f t="shared" ca="1" si="25"/>
        <v>BBB-</v>
      </c>
      <c r="BH51" s="240">
        <f t="shared" ca="1" si="25"/>
        <v>17</v>
      </c>
      <c r="BI51" s="240" t="str">
        <f t="shared" ca="1" si="25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1"/>
        <v>MR</v>
      </c>
      <c r="F52" s="306"/>
      <c r="G52" s="307">
        <f t="shared" ca="1" si="2"/>
        <v>25</v>
      </c>
      <c r="H52" s="250"/>
      <c r="I52" s="250"/>
      <c r="J52" s="262"/>
      <c r="K52" s="262"/>
      <c r="AF52" s="236">
        <f t="shared" si="3"/>
        <v>1</v>
      </c>
      <c r="AG52" s="236" t="str">
        <f t="shared" ca="1" si="4"/>
        <v/>
      </c>
      <c r="AH52" s="236" t="str">
        <f t="shared" ca="1" si="19"/>
        <v/>
      </c>
      <c r="AJ52" s="236">
        <f t="shared" ca="1" si="5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6"/>
        <v/>
      </c>
      <c r="AQ52" s="286" t="s">
        <v>7</v>
      </c>
      <c r="AR52" s="286" t="s">
        <v>2</v>
      </c>
      <c r="AS52" s="286">
        <v>21</v>
      </c>
      <c r="AT52" s="286" t="s">
        <v>327</v>
      </c>
      <c r="AV52" s="234">
        <f t="shared" si="21"/>
        <v>1</v>
      </c>
      <c r="AW52" s="234">
        <f>COUNTIF( AV$7:AV52, AV52 )</f>
        <v>1</v>
      </c>
      <c r="AX52" s="287">
        <f t="shared" si="22"/>
        <v>1.1000000000000001</v>
      </c>
      <c r="AY52" s="234">
        <f t="shared" si="23"/>
        <v>1</v>
      </c>
      <c r="AZ52" s="236"/>
      <c r="BA52" s="236"/>
      <c r="BC52" s="234">
        <f t="shared" ca="1" si="24"/>
        <v>46</v>
      </c>
      <c r="BD52" s="288">
        <f t="shared" ca="1" si="8"/>
        <v>21</v>
      </c>
      <c r="BF52" s="240" t="str">
        <f t="shared" ca="1" si="25"/>
        <v>FirstEnergy Corp.</v>
      </c>
      <c r="BG52" s="240" t="str">
        <f t="shared" ca="1" si="25"/>
        <v>BBB-</v>
      </c>
      <c r="BH52" s="240">
        <f t="shared" ca="1" si="25"/>
        <v>17</v>
      </c>
      <c r="BI52" s="240" t="str">
        <f t="shared" ca="1" si="25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1"/>
        <v>MR</v>
      </c>
      <c r="F53" s="306"/>
      <c r="G53" s="307">
        <f t="shared" ca="1" si="2"/>
        <v>27</v>
      </c>
      <c r="H53" s="250"/>
      <c r="I53" s="250"/>
      <c r="J53" s="262"/>
      <c r="K53" s="262"/>
      <c r="AF53" s="236">
        <f t="shared" si="3"/>
        <v>1</v>
      </c>
      <c r="AG53" s="236" t="str">
        <f t="shared" ca="1" si="4"/>
        <v/>
      </c>
      <c r="AH53" s="236" t="str">
        <f t="shared" ca="1" si="19"/>
        <v/>
      </c>
      <c r="AJ53" s="236">
        <f t="shared" ca="1" si="5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6"/>
        <v/>
      </c>
      <c r="AQ53" s="286" t="s">
        <v>62</v>
      </c>
      <c r="AR53" s="286" t="s">
        <v>16</v>
      </c>
      <c r="AS53" s="286">
        <v>19</v>
      </c>
      <c r="AT53" s="286" t="s">
        <v>329</v>
      </c>
      <c r="AV53" s="234">
        <f t="shared" si="21"/>
        <v>14</v>
      </c>
      <c r="AW53" s="234">
        <f>COUNTIF( AV$7:AV53, AV53 )</f>
        <v>12</v>
      </c>
      <c r="AX53" s="287">
        <f t="shared" si="22"/>
        <v>15.2</v>
      </c>
      <c r="AY53" s="234">
        <f t="shared" si="23"/>
        <v>25</v>
      </c>
      <c r="AZ53" s="236"/>
      <c r="BA53" s="236"/>
      <c r="BC53" s="234">
        <f t="shared" ca="1" si="24"/>
        <v>47</v>
      </c>
      <c r="BD53" s="288">
        <f t="shared" ca="1" si="8"/>
        <v>23</v>
      </c>
      <c r="BF53" s="240" t="str">
        <f t="shared" ca="1" si="25"/>
        <v>Hawaiian Electric Industries, Inc.</v>
      </c>
      <c r="BG53" s="240" t="str">
        <f t="shared" ca="1" si="25"/>
        <v>BBB-</v>
      </c>
      <c r="BH53" s="240">
        <f t="shared" ca="1" si="25"/>
        <v>17</v>
      </c>
      <c r="BI53" s="240" t="str">
        <f t="shared" ca="1" si="25"/>
        <v>HE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1"/>
        <v>MR</v>
      </c>
      <c r="F54" s="306"/>
      <c r="G54" s="307">
        <f t="shared" ca="1" si="2"/>
        <v>33</v>
      </c>
      <c r="H54" s="250"/>
      <c r="I54" s="250"/>
      <c r="J54" s="262"/>
      <c r="K54" s="262"/>
      <c r="AF54" s="236">
        <f t="shared" si="3"/>
        <v>1</v>
      </c>
      <c r="AG54" s="236" t="str">
        <f t="shared" ca="1" si="4"/>
        <v/>
      </c>
      <c r="AH54" s="236" t="str">
        <f t="shared" ca="1" si="19"/>
        <v/>
      </c>
      <c r="AJ54" s="236">
        <f t="shared" ca="1" si="5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6"/>
        <v/>
      </c>
      <c r="AQ54" s="286" t="s">
        <v>75</v>
      </c>
      <c r="AR54" s="286" t="s">
        <v>28</v>
      </c>
      <c r="AS54" s="286">
        <v>18</v>
      </c>
      <c r="AT54" s="286" t="s">
        <v>331</v>
      </c>
      <c r="AV54" s="234">
        <f t="shared" si="21"/>
        <v>26</v>
      </c>
      <c r="AW54" s="234">
        <f>COUNTIF( AV$7:AV54, AV54 )</f>
        <v>18</v>
      </c>
      <c r="AX54" s="287">
        <f t="shared" si="22"/>
        <v>27.8</v>
      </c>
      <c r="AY54" s="234">
        <f t="shared" si="23"/>
        <v>43</v>
      </c>
      <c r="AZ54" s="236"/>
      <c r="BA54" s="236"/>
      <c r="BC54" s="234">
        <f t="shared" ca="1" si="24"/>
        <v>48</v>
      </c>
      <c r="BD54" s="288">
        <f t="shared" ca="1" si="8"/>
        <v>31</v>
      </c>
      <c r="BF54" s="240" t="str">
        <f t="shared" ca="1" si="25"/>
        <v>NiSource Inc.</v>
      </c>
      <c r="BG54" s="240" t="str">
        <f t="shared" ca="1" si="25"/>
        <v>BBB-</v>
      </c>
      <c r="BH54" s="240">
        <f t="shared" ca="1" si="25"/>
        <v>17</v>
      </c>
      <c r="BI54" s="240" t="str">
        <f t="shared" ca="1" si="25"/>
        <v>NI</v>
      </c>
    </row>
    <row r="55" spans="1:61" ht="13.8" x14ac:dyDescent="0.25">
      <c r="A55" s="303" t="s">
        <v>54</v>
      </c>
      <c r="B55" s="304" t="s">
        <v>49</v>
      </c>
      <c r="C55" s="304">
        <v>17</v>
      </c>
      <c r="D55" s="304" t="s">
        <v>448</v>
      </c>
      <c r="E55" s="305" t="str">
        <f t="shared" ca="1" si="1"/>
        <v>R</v>
      </c>
      <c r="F55" s="306"/>
      <c r="G55" s="307">
        <f t="shared" ca="1" si="2"/>
        <v>63</v>
      </c>
      <c r="H55" s="250"/>
      <c r="I55" s="250"/>
      <c r="J55" s="262"/>
      <c r="K55" s="262"/>
      <c r="AF55" s="236">
        <f t="shared" si="3"/>
        <v>1</v>
      </c>
      <c r="AG55" s="236">
        <f t="shared" ca="1" si="4"/>
        <v>1</v>
      </c>
      <c r="AH55" s="236" t="str">
        <f t="shared" ca="1" si="19"/>
        <v/>
      </c>
      <c r="AJ55" s="236">
        <f t="shared" ca="1" si="5"/>
        <v>57</v>
      </c>
      <c r="AK55" s="236" t="str">
        <f t="shared" ca="1" si="20"/>
        <v>BB+</v>
      </c>
      <c r="AL55" s="236">
        <f t="shared" ca="1" si="20"/>
        <v>16</v>
      </c>
      <c r="AM55" s="236" t="str">
        <f t="shared" ca="1" si="6"/>
        <v>Change</v>
      </c>
      <c r="AQ55" s="286" t="s">
        <v>14</v>
      </c>
      <c r="AR55" s="286" t="s">
        <v>10</v>
      </c>
      <c r="AS55" s="286">
        <v>20</v>
      </c>
      <c r="AT55" s="286" t="s">
        <v>334</v>
      </c>
      <c r="AV55" s="234">
        <f t="shared" si="21"/>
        <v>2</v>
      </c>
      <c r="AW55" s="234">
        <f>COUNTIF( AV$7:AV55, AV55 )</f>
        <v>10</v>
      </c>
      <c r="AX55" s="287">
        <f t="shared" si="22"/>
        <v>3</v>
      </c>
      <c r="AY55" s="234">
        <f t="shared" si="23"/>
        <v>11</v>
      </c>
      <c r="AZ55" s="236"/>
      <c r="BA55" s="236"/>
      <c r="BC55" s="234">
        <f t="shared" ca="1" si="24"/>
        <v>49</v>
      </c>
      <c r="BD55" s="288">
        <f t="shared" ca="1" si="8"/>
        <v>43</v>
      </c>
      <c r="BF55" s="240" t="str">
        <f t="shared" ca="1" si="25"/>
        <v>Puget Energy, Inc.</v>
      </c>
      <c r="BG55" s="240" t="str">
        <f t="shared" ca="1" si="25"/>
        <v>BBB-</v>
      </c>
      <c r="BH55" s="240">
        <f t="shared" ca="1" si="25"/>
        <v>17</v>
      </c>
      <c r="BI55" s="240" t="str">
        <f t="shared" ca="1" si="25"/>
        <v>**PSD</v>
      </c>
    </row>
    <row r="56" spans="1:61" ht="13.8" x14ac:dyDescent="0.25">
      <c r="A56" s="303" t="s">
        <v>58</v>
      </c>
      <c r="B56" s="304" t="s">
        <v>56</v>
      </c>
      <c r="C56" s="304">
        <v>16</v>
      </c>
      <c r="D56" s="304" t="s">
        <v>445</v>
      </c>
      <c r="E56" s="305" t="str">
        <f t="shared" ca="1" si="1"/>
        <v>R</v>
      </c>
      <c r="F56" s="306"/>
      <c r="G56" s="307">
        <f t="shared" ca="1" si="2"/>
        <v>61</v>
      </c>
      <c r="H56" s="250"/>
      <c r="I56" s="250"/>
      <c r="J56" s="262"/>
      <c r="K56" s="262"/>
      <c r="AF56" s="236">
        <f t="shared" si="3"/>
        <v>0</v>
      </c>
      <c r="AG56" s="236" t="str">
        <f t="shared" ca="1" si="4"/>
        <v/>
      </c>
      <c r="AH56" s="236">
        <f t="shared" ca="1" si="19"/>
        <v>1</v>
      </c>
      <c r="AJ56" s="236">
        <f t="shared" ca="1" si="5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6"/>
        <v>Change</v>
      </c>
      <c r="AQ56" s="286" t="s">
        <v>59</v>
      </c>
      <c r="AR56" s="286" t="s">
        <v>28</v>
      </c>
      <c r="AS56" s="286">
        <v>18</v>
      </c>
      <c r="AT56" s="286" t="s">
        <v>336</v>
      </c>
      <c r="AV56" s="234">
        <f t="shared" si="21"/>
        <v>26</v>
      </c>
      <c r="AW56" s="234">
        <f>COUNTIF( AV$7:AV56, AV56 )</f>
        <v>19</v>
      </c>
      <c r="AX56" s="287">
        <f t="shared" si="22"/>
        <v>27.9</v>
      </c>
      <c r="AY56" s="234">
        <f t="shared" si="23"/>
        <v>44</v>
      </c>
      <c r="AZ56" s="236"/>
      <c r="BA56" s="236"/>
      <c r="BC56" s="234">
        <f t="shared" ca="1" si="24"/>
        <v>50</v>
      </c>
      <c r="BD56" s="288">
        <f t="shared" ca="1" si="8"/>
        <v>27</v>
      </c>
      <c r="BF56" s="240" t="str">
        <f t="shared" ca="1" si="25"/>
        <v>IPALCO Enterprises, Inc.</v>
      </c>
      <c r="BG56" s="240" t="str">
        <f t="shared" ca="1" si="25"/>
        <v>BB+</v>
      </c>
      <c r="BH56" s="240">
        <f t="shared" ca="1" si="25"/>
        <v>16</v>
      </c>
      <c r="BI56" s="240" t="str">
        <f t="shared" ca="1" si="25"/>
        <v>**IPALCO</v>
      </c>
    </row>
    <row r="57" spans="1:61" ht="13.8" x14ac:dyDescent="0.25">
      <c r="A57" s="303" t="s">
        <v>64</v>
      </c>
      <c r="B57" s="304" t="s">
        <v>61</v>
      </c>
      <c r="C57" s="304">
        <v>15</v>
      </c>
      <c r="D57" s="304" t="s">
        <v>442</v>
      </c>
      <c r="E57" s="305" t="str">
        <f t="shared" ca="1" si="1"/>
        <v>R</v>
      </c>
      <c r="F57" s="306"/>
      <c r="G57" s="307">
        <f t="shared" ca="1" si="2"/>
        <v>59</v>
      </c>
      <c r="H57" s="250"/>
      <c r="I57" s="250"/>
      <c r="J57" s="262"/>
      <c r="K57" s="262"/>
      <c r="AF57" s="236">
        <f t="shared" si="3"/>
        <v>1</v>
      </c>
      <c r="AG57" s="236" t="str">
        <f t="shared" ca="1" si="4"/>
        <v/>
      </c>
      <c r="AH57" s="236" t="str">
        <f t="shared" ca="1" si="19"/>
        <v/>
      </c>
      <c r="AJ57" s="236">
        <f t="shared" ca="1" si="5"/>
        <v>58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6"/>
        <v/>
      </c>
      <c r="AQ57" s="286" t="s">
        <v>26</v>
      </c>
      <c r="AR57" s="286" t="s">
        <v>10</v>
      </c>
      <c r="AS57" s="286">
        <v>20</v>
      </c>
      <c r="AT57" s="286" t="s">
        <v>335</v>
      </c>
      <c r="AV57" s="234">
        <f t="shared" si="21"/>
        <v>2</v>
      </c>
      <c r="AW57" s="234">
        <f>COUNTIF( AV$7:AV57, AV57 )</f>
        <v>11</v>
      </c>
      <c r="AX57" s="287">
        <f t="shared" si="22"/>
        <v>3.1</v>
      </c>
      <c r="AY57" s="234">
        <f t="shared" si="23"/>
        <v>12</v>
      </c>
      <c r="AZ57" s="236"/>
      <c r="BA57" s="236"/>
      <c r="BC57" s="234">
        <f t="shared" ca="1" si="24"/>
        <v>51</v>
      </c>
      <c r="BD57" s="288">
        <f t="shared" ca="1" si="8"/>
        <v>12</v>
      </c>
      <c r="BF57" s="240" t="str">
        <f t="shared" ca="1" si="25"/>
        <v>DPL Inc.</v>
      </c>
      <c r="BG57" s="240" t="str">
        <f t="shared" ca="1" si="25"/>
        <v>BB</v>
      </c>
      <c r="BH57" s="240">
        <f t="shared" ca="1" si="25"/>
        <v>15</v>
      </c>
      <c r="BI57" s="240" t="str">
        <f t="shared" ca="1" si="25"/>
        <v>**DPL</v>
      </c>
    </row>
    <row r="58" spans="1:61" ht="13.8" x14ac:dyDescent="0.25">
      <c r="A58" s="303" t="s">
        <v>248</v>
      </c>
      <c r="B58" s="304" t="s">
        <v>127</v>
      </c>
      <c r="C58" s="304">
        <v>8</v>
      </c>
      <c r="D58" s="304" t="s">
        <v>444</v>
      </c>
      <c r="E58" s="305" t="str">
        <f t="shared" ca="1" si="1"/>
        <v>D</v>
      </c>
      <c r="F58" s="306"/>
      <c r="G58" s="307">
        <f t="shared" ca="1" si="2"/>
        <v>60</v>
      </c>
      <c r="H58" s="250"/>
      <c r="I58" s="250"/>
      <c r="J58" s="262"/>
      <c r="K58" s="262"/>
      <c r="AF58" s="236">
        <f t="shared" si="3"/>
        <v>0</v>
      </c>
      <c r="AG58" s="236" t="str">
        <f t="shared" ca="1" si="4"/>
        <v/>
      </c>
      <c r="AH58" s="236">
        <f t="shared" ca="1" si="19"/>
        <v>1</v>
      </c>
      <c r="AJ58" s="236">
        <f t="shared" ca="1" si="5"/>
        <v>59</v>
      </c>
      <c r="AK58" s="236" t="str">
        <f t="shared" ca="1" si="20"/>
        <v>CCC</v>
      </c>
      <c r="AL58" s="236">
        <f t="shared" ca="1" si="20"/>
        <v>9</v>
      </c>
      <c r="AM58" s="236" t="str">
        <f t="shared" ca="1" si="6"/>
        <v>Change</v>
      </c>
      <c r="AQ58" s="286" t="s">
        <v>257</v>
      </c>
      <c r="AR58" s="286" t="s">
        <v>10</v>
      </c>
      <c r="AS58" s="286">
        <v>20</v>
      </c>
      <c r="AT58" s="286" t="s">
        <v>337</v>
      </c>
      <c r="AV58" s="234">
        <f t="shared" si="21"/>
        <v>2</v>
      </c>
      <c r="AW58" s="234">
        <f>COUNTIF( AV$7:AV58, AV58 )</f>
        <v>12</v>
      </c>
      <c r="AX58" s="287">
        <f t="shared" si="22"/>
        <v>3.2</v>
      </c>
      <c r="AY58" s="234">
        <f t="shared" si="23"/>
        <v>13</v>
      </c>
      <c r="AZ58" s="236"/>
      <c r="BA58" s="236"/>
      <c r="BC58" s="234">
        <f t="shared" ca="1" si="24"/>
        <v>52</v>
      </c>
      <c r="BD58" s="288">
        <f t="shared" ca="1" si="8"/>
        <v>18</v>
      </c>
      <c r="BF58" s="240" t="str">
        <f t="shared" ca="1" si="25"/>
        <v>Energy Future Holdings Corp.</v>
      </c>
      <c r="BG58" s="240" t="str">
        <f t="shared" ca="1" si="25"/>
        <v>CCC-</v>
      </c>
      <c r="BH58" s="240">
        <f t="shared" ca="1" si="25"/>
        <v>8</v>
      </c>
      <c r="BI58" s="240" t="str">
        <f t="shared" ca="1" si="25"/>
        <v>**EFH</v>
      </c>
    </row>
    <row r="59" spans="1:61" ht="13.8" x14ac:dyDescent="0.25">
      <c r="A59" s="303"/>
      <c r="B59" s="304"/>
      <c r="C59" s="304"/>
      <c r="D59" s="304"/>
      <c r="E59" s="305"/>
      <c r="F59" s="306"/>
      <c r="G59" s="307" t="str">
        <f t="shared" ca="1" si="2"/>
        <v/>
      </c>
      <c r="H59" s="250"/>
      <c r="I59" s="250"/>
      <c r="J59" s="262"/>
      <c r="K59" s="262"/>
      <c r="AF59" s="236">
        <f t="shared" si="3"/>
        <v>0</v>
      </c>
      <c r="AG59" s="236" t="str">
        <f t="shared" si="4"/>
        <v/>
      </c>
      <c r="AH59" s="236" t="str">
        <f t="shared" si="19"/>
        <v/>
      </c>
      <c r="AJ59" s="236" t="e">
        <f t="shared" ca="1" si="5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6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</v>
      </c>
      <c r="AX59" s="287">
        <f t="shared" si="22"/>
        <v>99.1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8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"/>
        <v/>
      </c>
      <c r="H60" s="250"/>
      <c r="I60" s="250"/>
      <c r="AF60" s="236">
        <f t="shared" si="3"/>
        <v>0</v>
      </c>
      <c r="AG60" s="236" t="str">
        <f t="shared" si="4"/>
        <v/>
      </c>
      <c r="AH60" s="236" t="str">
        <f t="shared" si="19"/>
        <v/>
      </c>
      <c r="AJ60" s="236" t="e">
        <f t="shared" ca="1" si="5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6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2</v>
      </c>
      <c r="AX60" s="287">
        <f t="shared" si="22"/>
        <v>99.2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8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"/>
        <v/>
      </c>
      <c r="H61" s="250"/>
      <c r="I61" s="250"/>
      <c r="AF61" s="236">
        <f t="shared" si="3"/>
        <v>0</v>
      </c>
      <c r="AG61" s="236" t="str">
        <f t="shared" si="4"/>
        <v/>
      </c>
      <c r="AH61" s="236" t="str">
        <f t="shared" si="19"/>
        <v/>
      </c>
      <c r="AJ61" s="236" t="e">
        <f t="shared" ca="1" si="5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6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3</v>
      </c>
      <c r="AX61" s="287">
        <f t="shared" si="22"/>
        <v>99.3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8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"/>
        <v>31</v>
      </c>
      <c r="H62" s="250"/>
      <c r="I62" s="250"/>
      <c r="AF62" s="236">
        <f t="shared" si="3"/>
        <v>1</v>
      </c>
      <c r="AG62" s="236" t="str">
        <f t="shared" ca="1" si="4"/>
        <v/>
      </c>
      <c r="AH62" s="236" t="str">
        <f t="shared" ca="1" si="19"/>
        <v/>
      </c>
      <c r="AJ62" s="236">
        <f t="shared" ca="1" si="5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6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4</v>
      </c>
      <c r="AX62" s="287">
        <f t="shared" si="22"/>
        <v>99.4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8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2"/>
        <v>52</v>
      </c>
      <c r="H63" s="250"/>
      <c r="I63" s="250"/>
      <c r="AF63" s="236">
        <f t="shared" si="3"/>
        <v>0</v>
      </c>
      <c r="AG63" s="236" t="str">
        <f t="shared" ca="1" si="4"/>
        <v/>
      </c>
      <c r="AH63" s="236" t="str">
        <f t="shared" ca="1" si="19"/>
        <v/>
      </c>
      <c r="AJ63" s="236">
        <f t="shared" ca="1" si="5"/>
        <v>63</v>
      </c>
      <c r="AK63" s="236" t="str">
        <f t="shared" ca="1" si="20"/>
        <v>BBB</v>
      </c>
      <c r="AL63" s="236">
        <f t="shared" ca="1" si="20"/>
        <v>18</v>
      </c>
      <c r="AM63" s="236" t="str">
        <f t="shared" ca="1" si="6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5</v>
      </c>
      <c r="AX63" s="287">
        <f t="shared" si="22"/>
        <v>99.5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2"/>
        <v>51</v>
      </c>
      <c r="H64" s="250"/>
      <c r="I64" s="250"/>
      <c r="AF64" s="236">
        <f t="shared" si="3"/>
        <v>0</v>
      </c>
      <c r="AG64" s="236" t="str">
        <f t="shared" si="4"/>
        <v/>
      </c>
      <c r="AH64" s="236" t="str">
        <f t="shared" si="19"/>
        <v/>
      </c>
      <c r="AJ64" s="236">
        <f t="shared" ca="1" si="5"/>
        <v>64</v>
      </c>
      <c r="AK64" s="236">
        <f t="shared" ca="1" si="20"/>
        <v>0</v>
      </c>
      <c r="AL64" s="236">
        <f t="shared" ca="1" si="20"/>
        <v>0</v>
      </c>
      <c r="AM64" s="236" t="str">
        <f t="shared" ca="1" si="6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3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5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6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3"/>
        <v>0</v>
      </c>
      <c r="AG66" s="236" t="str">
        <f t="shared" ref="AG66:AG67" si="26">IF( LEN( $C66 ) = 0, "", IF( $C66 &gt; $AL66, 1, "" ) )</f>
        <v/>
      </c>
      <c r="AH66" s="236" t="str">
        <f t="shared" si="19"/>
        <v/>
      </c>
      <c r="AJ66" s="236" t="e">
        <f t="shared" ca="1" si="5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6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3"/>
        <v>0</v>
      </c>
      <c r="AG67" s="236" t="str">
        <f t="shared" si="26"/>
        <v/>
      </c>
      <c r="AH67" s="236" t="str">
        <f t="shared" si="19"/>
        <v/>
      </c>
      <c r="AJ67" s="236" t="e">
        <f t="shared" ca="1" si="5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6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18.444444444444443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18.574074074074073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'Credit_2013Q2'!a:a</v>
      </c>
      <c r="AK2" s="240" t="str">
        <f>AK4 &amp; AK3</f>
        <v>'Credit_2013Q2'!b1</v>
      </c>
      <c r="AL2" s="240" t="str">
        <f>AL4 &amp; AL3</f>
        <v>'Credit_2013Q2'!c1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493</v>
      </c>
      <c r="AK4" s="236" t="str">
        <f>AJ4</f>
        <v>'Credit_2013Q2'!</v>
      </c>
      <c r="AL4" s="236" t="str">
        <f>AK4</f>
        <v>'Credit_2013Q2'!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(55)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430</v>
      </c>
      <c r="C6" s="338" t="s">
        <v>470</v>
      </c>
      <c r="D6" s="301"/>
      <c r="E6" s="302">
        <v>41274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I38" ca="1" si="8">OFFSET( AQ$6, $BD7, 0 )</f>
        <v>Southern Company</v>
      </c>
      <c r="BG7" s="240" t="str">
        <f t="shared" ca="1" si="8"/>
        <v>A</v>
      </c>
      <c r="BH7" s="240">
        <f t="shared" ca="1" si="8"/>
        <v>21</v>
      </c>
      <c r="BI7" s="240" t="str">
        <f t="shared" ca="1" si="8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3.6363636363636362E-2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2.7777777777777776E-2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5.8823529411764705E-2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ca="1" si="4"/>
        <v>8</v>
      </c>
      <c r="AK8" s="236" t="str">
        <f t="shared" ref="AK8:AL67" ca="1" si="19">IF( ISNA( $AJ8 ), "", OFFSET( INDIRECT( AK$2 ), $AJ8-1, 0 ) )</f>
        <v>A-</v>
      </c>
      <c r="AL8" s="236">
        <f t="shared" ca="1" si="19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0">IF( LEN( AS8 ) = 0, 99, RANK( AS8, $AS$7:$AS$63 ) )</f>
        <v>2</v>
      </c>
      <c r="AW8" s="234">
        <f>COUNTIF( AV$7:AV8, AV8 )</f>
        <v>1</v>
      </c>
      <c r="AX8" s="287">
        <f t="shared" ref="AX8:AX63" si="21">AV8 + AW8 / 10</f>
        <v>2.1</v>
      </c>
      <c r="AY8" s="234">
        <f t="shared" ref="AY8:AY63" si="22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8"/>
        <v>A-</v>
      </c>
      <c r="BH8" s="240">
        <f t="shared" ca="1" si="8"/>
        <v>20</v>
      </c>
      <c r="BI8" s="240" t="str">
        <f t="shared" ca="1" si="8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</v>
      </c>
      <c r="N9" s="318"/>
      <c r="O9" s="295">
        <f t="shared" ca="1" si="11"/>
        <v>6</v>
      </c>
      <c r="P9" s="296">
        <f t="shared" ca="1" si="12"/>
        <v>0.16666666666666666</v>
      </c>
      <c r="Q9" s="318"/>
      <c r="R9" s="295">
        <f t="shared" ca="1" si="13"/>
        <v>5</v>
      </c>
      <c r="S9" s="296">
        <f t="shared" ca="1" si="14"/>
        <v>0.29411764705882354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4"/>
        <v>9</v>
      </c>
      <c r="AK9" s="236" t="str">
        <f t="shared" ca="1" si="19"/>
        <v>A-</v>
      </c>
      <c r="AL9" s="236">
        <f t="shared" ca="1" si="19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0"/>
        <v>25</v>
      </c>
      <c r="AW9" s="234">
        <f>COUNTIF( AV$7:AV9, AV9 )</f>
        <v>1</v>
      </c>
      <c r="AX9" s="287">
        <f t="shared" si="21"/>
        <v>25.1</v>
      </c>
      <c r="AY9" s="234">
        <f t="shared" si="22"/>
        <v>25</v>
      </c>
      <c r="AZ9" s="236"/>
      <c r="BA9" s="236"/>
      <c r="BC9" s="234">
        <f t="shared" ref="BC9:BC63" ca="1" si="23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8"/>
        <v>A-</v>
      </c>
      <c r="BH9" s="240">
        <f t="shared" ca="1" si="8"/>
        <v>20</v>
      </c>
      <c r="BI9" s="240" t="str">
        <f t="shared" ca="1" si="8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12</v>
      </c>
      <c r="M10" s="296">
        <f t="shared" si="10"/>
        <v>0.21818181818181817</v>
      </c>
      <c r="N10" s="318"/>
      <c r="O10" s="295">
        <f t="shared" ca="1" si="11"/>
        <v>6</v>
      </c>
      <c r="P10" s="296">
        <f t="shared" ca="1" si="12"/>
        <v>0.16666666666666666</v>
      </c>
      <c r="Q10" s="318"/>
      <c r="R10" s="295">
        <f t="shared" ca="1" si="13"/>
        <v>5</v>
      </c>
      <c r="S10" s="296">
        <f t="shared" ca="1" si="14"/>
        <v>0.29411764705882354</v>
      </c>
      <c r="T10" s="318"/>
      <c r="U10" s="295">
        <f t="shared" ca="1" si="15"/>
        <v>1</v>
      </c>
      <c r="V10" s="296">
        <f t="shared" ca="1" si="16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4"/>
        <v>10</v>
      </c>
      <c r="AK10" s="236" t="str">
        <f t="shared" ca="1" si="19"/>
        <v>A-</v>
      </c>
      <c r="AL10" s="236">
        <f t="shared" ca="1" si="19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0"/>
        <v>25</v>
      </c>
      <c r="AW10" s="234">
        <f>COUNTIF( AV$7:AV10, AV10 )</f>
        <v>2</v>
      </c>
      <c r="AX10" s="287">
        <f t="shared" si="21"/>
        <v>25.2</v>
      </c>
      <c r="AY10" s="234">
        <f t="shared" si="22"/>
        <v>26</v>
      </c>
      <c r="AZ10" s="236"/>
      <c r="BA10" s="236"/>
      <c r="BC10" s="234">
        <f t="shared" ca="1" si="23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8"/>
        <v>A-</v>
      </c>
      <c r="BH10" s="240">
        <f t="shared" ca="1" si="8"/>
        <v>20</v>
      </c>
      <c r="BI10" s="240" t="str">
        <f t="shared" ca="1" si="8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9"/>
        <v>21</v>
      </c>
      <c r="M11" s="296">
        <f t="shared" si="10"/>
        <v>0.38181818181818183</v>
      </c>
      <c r="N11" s="318"/>
      <c r="O11" s="295">
        <f t="shared" ca="1" si="11"/>
        <v>18</v>
      </c>
      <c r="P11" s="296">
        <f t="shared" ca="1" si="12"/>
        <v>0.5</v>
      </c>
      <c r="Q11" s="318"/>
      <c r="R11" s="295">
        <f t="shared" ca="1" si="13"/>
        <v>3</v>
      </c>
      <c r="S11" s="296">
        <f t="shared" ca="1" si="14"/>
        <v>0.17647058823529413</v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21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4"/>
        <v>11</v>
      </c>
      <c r="AK11" s="236" t="str">
        <f t="shared" ca="1" si="19"/>
        <v>A-</v>
      </c>
      <c r="AL11" s="236">
        <f t="shared" ca="1" si="19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0"/>
        <v>25</v>
      </c>
      <c r="AW11" s="234">
        <f>COUNTIF( AV$7:AV11, AV11 )</f>
        <v>3</v>
      </c>
      <c r="AX11" s="287">
        <f t="shared" si="21"/>
        <v>25.3</v>
      </c>
      <c r="AY11" s="234">
        <f t="shared" si="22"/>
        <v>27</v>
      </c>
      <c r="AZ11" s="236"/>
      <c r="BA11" s="236"/>
      <c r="BC11" s="234">
        <f t="shared" ca="1" si="23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8"/>
        <v>A-</v>
      </c>
      <c r="BH11" s="240">
        <f t="shared" ca="1" si="8"/>
        <v>20</v>
      </c>
      <c r="BI11" s="240" t="str">
        <f t="shared" ca="1" si="8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9"/>
        <v>6</v>
      </c>
      <c r="M12" s="296">
        <f t="shared" si="10"/>
        <v>0.10909090909090909</v>
      </c>
      <c r="N12" s="318"/>
      <c r="O12" s="295">
        <f t="shared" ca="1" si="11"/>
        <v>3</v>
      </c>
      <c r="P12" s="296">
        <f t="shared" ca="1" si="12"/>
        <v>8.3333333333333329E-2</v>
      </c>
      <c r="Q12" s="318"/>
      <c r="R12" s="295">
        <f t="shared" ca="1" si="13"/>
        <v>3</v>
      </c>
      <c r="S12" s="296">
        <f t="shared" ca="1" si="14"/>
        <v>0.17647058823529413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6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4"/>
        <v>12</v>
      </c>
      <c r="AK12" s="236" t="str">
        <f t="shared" ca="1" si="19"/>
        <v>A-</v>
      </c>
      <c r="AL12" s="236">
        <f t="shared" ca="1" si="19"/>
        <v>20</v>
      </c>
      <c r="AM12" s="236" t="str">
        <f t="shared" ca="1" si="5"/>
        <v/>
      </c>
      <c r="AQ12" s="286" t="s">
        <v>48</v>
      </c>
      <c r="AR12" s="286" t="s">
        <v>28</v>
      </c>
      <c r="AS12" s="286">
        <v>18</v>
      </c>
      <c r="AT12" s="286" t="s">
        <v>279</v>
      </c>
      <c r="AV12" s="234">
        <f t="shared" si="20"/>
        <v>25</v>
      </c>
      <c r="AW12" s="234">
        <f>COUNTIF( AV$7:AV12, AV12 )</f>
        <v>4</v>
      </c>
      <c r="AX12" s="287">
        <f t="shared" si="21"/>
        <v>25.4</v>
      </c>
      <c r="AY12" s="234">
        <f t="shared" si="22"/>
        <v>28</v>
      </c>
      <c r="AZ12" s="236"/>
      <c r="BA12" s="236"/>
      <c r="BC12" s="234">
        <f t="shared" ca="1" si="23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8"/>
        <v>A-</v>
      </c>
      <c r="BH12" s="240">
        <f t="shared" ca="1" si="8"/>
        <v>20</v>
      </c>
      <c r="BI12" s="240" t="str">
        <f t="shared" ca="1" si="8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9"/>
        <v>3</v>
      </c>
      <c r="M13" s="298">
        <f t="shared" si="10"/>
        <v>5.4545454545454543E-2</v>
      </c>
      <c r="N13" s="319"/>
      <c r="O13" s="297">
        <f t="shared" ca="1" si="11"/>
        <v>2</v>
      </c>
      <c r="P13" s="298">
        <f t="shared" ca="1" si="12"/>
        <v>5.5555555555555552E-2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1</v>
      </c>
      <c r="V13" s="298">
        <f t="shared" ca="1" si="16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3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4"/>
        <v>13</v>
      </c>
      <c r="AK13" s="236" t="str">
        <f t="shared" ca="1" si="19"/>
        <v>A-</v>
      </c>
      <c r="AL13" s="236">
        <f t="shared" ca="1" si="19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0"/>
        <v>2</v>
      </c>
      <c r="AW13" s="234">
        <f>COUNTIF( AV$7:AV13, AV13 )</f>
        <v>2</v>
      </c>
      <c r="AX13" s="287">
        <f t="shared" si="21"/>
        <v>2.2000000000000002</v>
      </c>
      <c r="AY13" s="234">
        <f t="shared" si="22"/>
        <v>3</v>
      </c>
      <c r="AZ13" s="236"/>
      <c r="BA13" s="236"/>
      <c r="BC13" s="234">
        <f t="shared" ca="1" si="23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8"/>
        <v>A-</v>
      </c>
      <c r="BH13" s="240">
        <f t="shared" ca="1" si="8"/>
        <v>20</v>
      </c>
      <c r="BI13" s="240" t="str">
        <f t="shared" ca="1" si="8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18.509090909090908</v>
      </c>
      <c r="Z14" s="261"/>
      <c r="AA14" s="377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4"/>
        <v>14</v>
      </c>
      <c r="AK14" s="236" t="str">
        <f t="shared" ca="1" si="19"/>
        <v>A-</v>
      </c>
      <c r="AL14" s="236">
        <f t="shared" ca="1" si="19"/>
        <v>20</v>
      </c>
      <c r="AM14" s="236" t="str">
        <f t="shared" ca="1" si="5"/>
        <v/>
      </c>
      <c r="AQ14" s="286" t="s">
        <v>30</v>
      </c>
      <c r="AR14" s="286" t="s">
        <v>16</v>
      </c>
      <c r="AS14" s="286">
        <v>19</v>
      </c>
      <c r="AT14" s="286" t="s">
        <v>284</v>
      </c>
      <c r="AV14" s="234">
        <f>IF( LEN( AS14 ) = 0, 99, RANK( AS14, $AS$7:$AS$63 ) )</f>
        <v>13</v>
      </c>
      <c r="AW14" s="234">
        <f>COUNTIF( AV$7:AV14, AV14 )</f>
        <v>2</v>
      </c>
      <c r="AX14" s="287">
        <f t="shared" si="21"/>
        <v>13.2</v>
      </c>
      <c r="AY14" s="234">
        <f t="shared" si="22"/>
        <v>14</v>
      </c>
      <c r="AZ14" s="236"/>
      <c r="BA14" s="236"/>
      <c r="BC14" s="234">
        <f t="shared" ca="1" si="23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8"/>
        <v>A-</v>
      </c>
      <c r="BH14" s="240">
        <f t="shared" ca="1" si="8"/>
        <v>20</v>
      </c>
      <c r="BI14" s="240" t="str">
        <f t="shared" ca="1" si="8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4"/>
        <v>15</v>
      </c>
      <c r="AK15" s="236" t="str">
        <f t="shared" ca="1" si="19"/>
        <v>A-</v>
      </c>
      <c r="AL15" s="236">
        <f t="shared" ca="1" si="19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0"/>
        <v>25</v>
      </c>
      <c r="AW15" s="234">
        <f>COUNTIF( AV$7:AV15, AV15 )</f>
        <v>5</v>
      </c>
      <c r="AX15" s="287">
        <f t="shared" si="21"/>
        <v>25.5</v>
      </c>
      <c r="AY15" s="234">
        <f t="shared" si="22"/>
        <v>29</v>
      </c>
      <c r="AZ15" s="236"/>
      <c r="BA15" s="236"/>
      <c r="BC15" s="234">
        <f t="shared" ca="1" si="23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8"/>
        <v>A-</v>
      </c>
      <c r="BH15" s="240">
        <f t="shared" ca="1" si="8"/>
        <v>20</v>
      </c>
      <c r="BI15" s="240" t="str">
        <f t="shared" ca="1" si="8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18.399999999999999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18.361111111111111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14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4"/>
        <v>16</v>
      </c>
      <c r="AK16" s="236" t="str">
        <f t="shared" ca="1" si="19"/>
        <v>A-</v>
      </c>
      <c r="AL16" s="236">
        <f t="shared" ca="1" si="19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0"/>
        <v>2</v>
      </c>
      <c r="AW16" s="234">
        <f>COUNTIF( AV$7:AV16, AV16 )</f>
        <v>3</v>
      </c>
      <c r="AX16" s="287">
        <f t="shared" si="21"/>
        <v>2.2999999999999998</v>
      </c>
      <c r="AY16" s="234">
        <f t="shared" si="22"/>
        <v>4</v>
      </c>
      <c r="AZ16" s="236"/>
      <c r="BA16" s="236"/>
      <c r="BC16" s="234">
        <f t="shared" ca="1" si="23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8"/>
        <v>A-</v>
      </c>
      <c r="BH16" s="240">
        <f t="shared" ca="1" si="8"/>
        <v>20</v>
      </c>
      <c r="BI16" s="240" t="str">
        <f t="shared" ca="1" si="8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4"/>
        <v>17</v>
      </c>
      <c r="AK17" s="236" t="str">
        <f t="shared" ca="1" si="19"/>
        <v>A-</v>
      </c>
      <c r="AL17" s="236">
        <f t="shared" ca="1" si="19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0"/>
        <v>2</v>
      </c>
      <c r="AW17" s="234">
        <f>COUNTIF( AV$7:AV17, AV17 )</f>
        <v>4</v>
      </c>
      <c r="AX17" s="287">
        <f t="shared" si="21"/>
        <v>2.4</v>
      </c>
      <c r="AY17" s="234">
        <f t="shared" si="22"/>
        <v>5</v>
      </c>
      <c r="AZ17" s="236"/>
      <c r="BA17" s="236"/>
      <c r="BC17" s="234">
        <f t="shared" ca="1" si="23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8"/>
        <v>A-</v>
      </c>
      <c r="BH17" s="240">
        <f t="shared" ca="1" si="8"/>
        <v>20</v>
      </c>
      <c r="BI17" s="240" t="str">
        <f t="shared" ca="1" si="8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4"/>
        <v>18</v>
      </c>
      <c r="AK18" s="236" t="str">
        <f t="shared" ca="1" si="19"/>
        <v>A-</v>
      </c>
      <c r="AL18" s="236">
        <f t="shared" ca="1" si="19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0"/>
        <v>52</v>
      </c>
      <c r="AW18" s="234">
        <f>COUNTIF( AV$7:AV18, AV18 )</f>
        <v>1</v>
      </c>
      <c r="AX18" s="287">
        <f t="shared" si="21"/>
        <v>52.1</v>
      </c>
      <c r="AY18" s="234">
        <f t="shared" si="22"/>
        <v>52</v>
      </c>
      <c r="AZ18" s="236"/>
      <c r="BA18" s="236"/>
      <c r="BC18" s="234">
        <f t="shared" ca="1" si="23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8"/>
        <v>A-</v>
      </c>
      <c r="BH18" s="240">
        <f t="shared" ca="1" si="8"/>
        <v>20</v>
      </c>
      <c r="BI18" s="240" t="str">
        <f t="shared" ca="1" si="8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4"/>
        <v>19</v>
      </c>
      <c r="AK19" s="236" t="str">
        <f t="shared" ca="1" si="19"/>
        <v>BBB+</v>
      </c>
      <c r="AL19" s="236">
        <f t="shared" ca="1" si="19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0"/>
        <v>13</v>
      </c>
      <c r="AW19" s="234">
        <f>COUNTIF( AV$7:AV19, AV19 )</f>
        <v>3</v>
      </c>
      <c r="AX19" s="287">
        <f t="shared" si="21"/>
        <v>13.3</v>
      </c>
      <c r="AY19" s="234">
        <f t="shared" si="22"/>
        <v>15</v>
      </c>
      <c r="AZ19" s="236"/>
      <c r="BA19" s="236"/>
      <c r="BC19" s="234">
        <f t="shared" ca="1" si="23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8"/>
        <v>BBB+</v>
      </c>
      <c r="BH19" s="240">
        <f t="shared" ca="1" si="8"/>
        <v>19</v>
      </c>
      <c r="BI19" s="240" t="str">
        <f t="shared" ca="1" si="8"/>
        <v>ALE</v>
      </c>
    </row>
    <row r="20" spans="1:61" ht="13.8" x14ac:dyDescent="0.25">
      <c r="A20" s="303" t="s">
        <v>30</v>
      </c>
      <c r="B20" s="304" t="s">
        <v>16</v>
      </c>
      <c r="C20" s="304">
        <v>19</v>
      </c>
      <c r="D20" s="304" t="s">
        <v>284</v>
      </c>
      <c r="E20" s="305" t="str">
        <f t="shared" ca="1" si="0"/>
        <v>R</v>
      </c>
      <c r="F20" s="306"/>
      <c r="G20" s="307">
        <f t="shared" ca="1" si="1"/>
        <v>14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>
        <f t="shared" ca="1" si="3"/>
        <v>1</v>
      </c>
      <c r="AH20" s="236" t="str">
        <f t="shared" ca="1" si="18"/>
        <v/>
      </c>
      <c r="AJ20" s="236">
        <f t="shared" ca="1" si="4"/>
        <v>33</v>
      </c>
      <c r="AK20" s="236" t="str">
        <f t="shared" ca="1" si="19"/>
        <v>BBB</v>
      </c>
      <c r="AL20" s="236">
        <f t="shared" ca="1" si="19"/>
        <v>18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0"/>
        <v>13</v>
      </c>
      <c r="AW20" s="234">
        <f>COUNTIF( AV$7:AV20, AV20 )</f>
        <v>4</v>
      </c>
      <c r="AX20" s="287">
        <f t="shared" si="21"/>
        <v>13.4</v>
      </c>
      <c r="AY20" s="234">
        <f t="shared" si="22"/>
        <v>16</v>
      </c>
      <c r="AZ20" s="236"/>
      <c r="BA20" s="236"/>
      <c r="BC20" s="234">
        <f t="shared" ca="1" si="23"/>
        <v>14</v>
      </c>
      <c r="BD20" s="288">
        <f t="shared" ca="1" si="7"/>
        <v>8</v>
      </c>
      <c r="BF20" s="240" t="str">
        <f t="shared" ca="1" si="8"/>
        <v>Cleco Corporation</v>
      </c>
      <c r="BG20" s="240" t="str">
        <f t="shared" ca="1" si="8"/>
        <v>BBB+</v>
      </c>
      <c r="BH20" s="240">
        <f t="shared" ca="1" si="8"/>
        <v>19</v>
      </c>
      <c r="BI20" s="240" t="str">
        <f t="shared" ca="1" si="8"/>
        <v>CNL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18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4"/>
        <v>20</v>
      </c>
      <c r="AK21" s="236" t="str">
        <f t="shared" ca="1" si="19"/>
        <v>BBB+</v>
      </c>
      <c r="AL21" s="236">
        <f t="shared" ca="1" si="19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9" t="s">
        <v>295</v>
      </c>
      <c r="AV21" s="234">
        <f t="shared" si="20"/>
        <v>45</v>
      </c>
      <c r="AW21" s="234">
        <f>COUNTIF( AV$7:AV21, AV21 )</f>
        <v>1</v>
      </c>
      <c r="AX21" s="287">
        <f t="shared" si="21"/>
        <v>45.1</v>
      </c>
      <c r="AY21" s="234">
        <f t="shared" si="22"/>
        <v>45</v>
      </c>
      <c r="AZ21" s="236"/>
      <c r="BA21" s="236"/>
      <c r="BC21" s="234">
        <f t="shared" ca="1" si="23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8"/>
        <v>BBB+</v>
      </c>
      <c r="BH21" s="240">
        <f t="shared" ca="1" si="8"/>
        <v>19</v>
      </c>
      <c r="BI21" s="240" t="str">
        <f t="shared" ca="1" si="8"/>
        <v>DTE</v>
      </c>
    </row>
    <row r="22" spans="1:61" ht="13.8" x14ac:dyDescent="0.25">
      <c r="A22" s="303" t="s">
        <v>32</v>
      </c>
      <c r="B22" s="304" t="s">
        <v>16</v>
      </c>
      <c r="C22" s="304">
        <v>19</v>
      </c>
      <c r="D22" s="304" t="s">
        <v>289</v>
      </c>
      <c r="E22" s="305" t="str">
        <f t="shared" ca="1" si="0"/>
        <v>R</v>
      </c>
      <c r="F22" s="306"/>
      <c r="G22" s="307">
        <f t="shared" ca="1" si="1"/>
        <v>19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4"/>
        <v>21</v>
      </c>
      <c r="AK22" s="236" t="str">
        <f t="shared" ca="1" si="19"/>
        <v>BBB+</v>
      </c>
      <c r="AL22" s="236">
        <f t="shared" ca="1" si="19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0"/>
        <v>25</v>
      </c>
      <c r="AW22" s="234">
        <f>COUNTIF( AV$7:AV22, AV22 )</f>
        <v>6</v>
      </c>
      <c r="AX22" s="287">
        <f t="shared" si="21"/>
        <v>25.6</v>
      </c>
      <c r="AY22" s="234">
        <f t="shared" si="22"/>
        <v>30</v>
      </c>
      <c r="AZ22" s="236"/>
      <c r="BA22" s="236"/>
      <c r="BC22" s="234">
        <f t="shared" ca="1" si="23"/>
        <v>16</v>
      </c>
      <c r="BD22" s="288">
        <f t="shared" ca="1" si="7"/>
        <v>14</v>
      </c>
      <c r="BF22" s="240" t="str">
        <f t="shared" ca="1" si="8"/>
        <v>Duke Energy Corporation</v>
      </c>
      <c r="BG22" s="240" t="str">
        <f t="shared" ca="1" si="8"/>
        <v>BBB+</v>
      </c>
      <c r="BH22" s="240">
        <f t="shared" ca="1" si="8"/>
        <v>19</v>
      </c>
      <c r="BI22" s="240" t="str">
        <f t="shared" ca="1" si="8"/>
        <v>DUK</v>
      </c>
    </row>
    <row r="23" spans="1:61" ht="13.8" x14ac:dyDescent="0.25">
      <c r="A23" s="303" t="s">
        <v>12</v>
      </c>
      <c r="B23" s="304" t="s">
        <v>16</v>
      </c>
      <c r="C23" s="304">
        <v>19</v>
      </c>
      <c r="D23" s="304" t="s">
        <v>308</v>
      </c>
      <c r="E23" s="305" t="str">
        <f t="shared" ca="1" si="0"/>
        <v>D</v>
      </c>
      <c r="F23" s="306"/>
      <c r="G23" s="307">
        <f t="shared" ca="1" si="1"/>
        <v>30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4"/>
        <v>22</v>
      </c>
      <c r="AK23" s="236" t="str">
        <f t="shared" ca="1" si="19"/>
        <v>BBB+</v>
      </c>
      <c r="AL23" s="236">
        <f t="shared" ca="1" si="19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0"/>
        <v>25</v>
      </c>
      <c r="AW23" s="234">
        <f>COUNTIF( AV$7:AV23, AV23 )</f>
        <v>7</v>
      </c>
      <c r="AX23" s="287">
        <f t="shared" si="21"/>
        <v>25.7</v>
      </c>
      <c r="AY23" s="234">
        <f t="shared" si="22"/>
        <v>31</v>
      </c>
      <c r="AZ23" s="236"/>
      <c r="BA23" s="236"/>
      <c r="BC23" s="234">
        <f t="shared" ca="1" si="23"/>
        <v>17</v>
      </c>
      <c r="BD23" s="288">
        <f t="shared" ca="1" si="7"/>
        <v>28</v>
      </c>
      <c r="BF23" s="240" t="str">
        <f t="shared" ca="1" si="8"/>
        <v>MDU Resources Group, Inc.</v>
      </c>
      <c r="BG23" s="240" t="str">
        <f t="shared" ca="1" si="8"/>
        <v>BBB+</v>
      </c>
      <c r="BH23" s="240">
        <f t="shared" ca="1" si="8"/>
        <v>19</v>
      </c>
      <c r="BI23" s="240" t="str">
        <f t="shared" ca="1" si="8"/>
        <v>MDU</v>
      </c>
    </row>
    <row r="24" spans="1:61" ht="13.8" x14ac:dyDescent="0.25">
      <c r="A24" s="303" t="s">
        <v>52</v>
      </c>
      <c r="B24" s="304" t="s">
        <v>16</v>
      </c>
      <c r="C24" s="304">
        <v>19</v>
      </c>
      <c r="D24" s="304" t="s">
        <v>446</v>
      </c>
      <c r="E24" s="305" t="str">
        <f t="shared" ca="1" si="0"/>
        <v>MR</v>
      </c>
      <c r="F24" s="306"/>
      <c r="G24" s="307">
        <f t="shared" ca="1" si="1"/>
        <v>62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4"/>
        <v>23</v>
      </c>
      <c r="AK24" s="236" t="str">
        <f t="shared" ca="1" si="19"/>
        <v>BBB+</v>
      </c>
      <c r="AL24" s="236">
        <f t="shared" ca="1" si="19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0"/>
        <v>53</v>
      </c>
      <c r="AW24" s="234">
        <f>COUNTIF( AV$7:AV24, AV24 )</f>
        <v>1</v>
      </c>
      <c r="AX24" s="287">
        <f t="shared" si="21"/>
        <v>53.1</v>
      </c>
      <c r="AY24" s="234">
        <f t="shared" si="22"/>
        <v>53</v>
      </c>
      <c r="AZ24" s="236"/>
      <c r="BA24" s="236"/>
      <c r="BC24" s="234">
        <f t="shared" ca="1" si="23"/>
        <v>18</v>
      </c>
      <c r="BD24" s="288">
        <f t="shared" ca="1" si="7"/>
        <v>29</v>
      </c>
      <c r="BF24" s="240" t="str">
        <f t="shared" ca="1" si="8"/>
        <v>MidAmerican Energy Holdings Company</v>
      </c>
      <c r="BG24" s="240" t="str">
        <f t="shared" ca="1" si="8"/>
        <v>BBB+</v>
      </c>
      <c r="BH24" s="240">
        <f t="shared" ca="1" si="8"/>
        <v>19</v>
      </c>
      <c r="BI24" s="240" t="str">
        <f t="shared" ca="1" si="8"/>
        <v>**BRK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39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4"/>
        <v>24</v>
      </c>
      <c r="AK25" s="236" t="str">
        <f t="shared" ca="1" si="19"/>
        <v>BBB+</v>
      </c>
      <c r="AL25" s="236">
        <f t="shared" ca="1" si="19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0"/>
        <v>25</v>
      </c>
      <c r="AW25" s="234">
        <f>COUNTIF( AV$7:AV25, AV25 )</f>
        <v>8</v>
      </c>
      <c r="AX25" s="287">
        <f t="shared" si="21"/>
        <v>25.8</v>
      </c>
      <c r="AY25" s="234">
        <f t="shared" si="22"/>
        <v>32</v>
      </c>
      <c r="AZ25" s="236"/>
      <c r="BA25" s="236"/>
      <c r="BC25" s="234">
        <f t="shared" ca="1" si="23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8"/>
        <v>BBB+</v>
      </c>
      <c r="BH25" s="240">
        <f t="shared" ca="1" si="8"/>
        <v>19</v>
      </c>
      <c r="BI25" s="240" t="str">
        <f t="shared" ca="1" si="8"/>
        <v>POM</v>
      </c>
    </row>
    <row r="26" spans="1:61" ht="13.8" x14ac:dyDescent="0.25">
      <c r="A26" s="303" t="s">
        <v>41</v>
      </c>
      <c r="B26" s="304" t="s">
        <v>16</v>
      </c>
      <c r="C26" s="304">
        <v>19</v>
      </c>
      <c r="D26" s="304" t="s">
        <v>321</v>
      </c>
      <c r="E26" s="305" t="str">
        <f t="shared" ca="1" si="0"/>
        <v>R</v>
      </c>
      <c r="F26" s="306"/>
      <c r="G26" s="307">
        <f t="shared" ca="1" si="1"/>
        <v>41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4"/>
        <v>25</v>
      </c>
      <c r="AK26" s="236" t="str">
        <f t="shared" ca="1" si="19"/>
        <v>BBB+</v>
      </c>
      <c r="AL26" s="236">
        <f t="shared" ca="1" si="19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0"/>
        <v>25</v>
      </c>
      <c r="AW26" s="234">
        <f>COUNTIF( AV$7:AV26, AV26 )</f>
        <v>9</v>
      </c>
      <c r="AX26" s="287">
        <f t="shared" si="21"/>
        <v>25.9</v>
      </c>
      <c r="AY26" s="234">
        <f t="shared" si="22"/>
        <v>33</v>
      </c>
      <c r="AZ26" s="236"/>
      <c r="BA26" s="236"/>
      <c r="BC26" s="234">
        <f t="shared" ca="1" si="23"/>
        <v>20</v>
      </c>
      <c r="BD26" s="288">
        <f t="shared" ca="1" si="7"/>
        <v>39</v>
      </c>
      <c r="BF26" s="240" t="str">
        <f t="shared" ca="1" si="8"/>
        <v>Pinnacle West Capital Corporation</v>
      </c>
      <c r="BG26" s="240" t="str">
        <f t="shared" ca="1" si="8"/>
        <v>BBB+</v>
      </c>
      <c r="BH26" s="240">
        <f t="shared" ca="1" si="8"/>
        <v>19</v>
      </c>
      <c r="BI26" s="240" t="str">
        <f t="shared" ca="1" si="8"/>
        <v>PNW</v>
      </c>
    </row>
    <row r="27" spans="1:61" ht="13.8" x14ac:dyDescent="0.25">
      <c r="A27" s="303" t="s">
        <v>45</v>
      </c>
      <c r="B27" s="304" t="s">
        <v>16</v>
      </c>
      <c r="C27" s="304">
        <v>19</v>
      </c>
      <c r="D27" s="304" t="s">
        <v>318</v>
      </c>
      <c r="E27" s="305" t="str">
        <f t="shared" ca="1" si="0"/>
        <v>MR</v>
      </c>
      <c r="F27" s="306"/>
      <c r="G27" s="307">
        <f t="shared" ca="1" si="1"/>
        <v>45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4"/>
        <v>26</v>
      </c>
      <c r="AK27" s="236" t="str">
        <f t="shared" ca="1" si="19"/>
        <v>BBB+</v>
      </c>
      <c r="AL27" s="236">
        <f t="shared" ca="1" si="19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0"/>
        <v>45</v>
      </c>
      <c r="AW27" s="234">
        <f>COUNTIF( AV$7:AV27, AV27 )</f>
        <v>2</v>
      </c>
      <c r="AX27" s="287">
        <f t="shared" si="21"/>
        <v>45.2</v>
      </c>
      <c r="AY27" s="234">
        <f t="shared" si="22"/>
        <v>46</v>
      </c>
      <c r="AZ27" s="236"/>
      <c r="BA27" s="236"/>
      <c r="BC27" s="234">
        <f t="shared" ca="1" si="23"/>
        <v>21</v>
      </c>
      <c r="BD27" s="288">
        <f t="shared" ca="1" si="7"/>
        <v>43</v>
      </c>
      <c r="BF27" s="240" t="str">
        <f t="shared" ca="1" si="8"/>
        <v>Public Service Enterprise Group Incorporated</v>
      </c>
      <c r="BG27" s="240" t="str">
        <f t="shared" ca="1" si="8"/>
        <v>BBB+</v>
      </c>
      <c r="BH27" s="240">
        <f t="shared" ca="1" si="8"/>
        <v>19</v>
      </c>
      <c r="BI27" s="240" t="str">
        <f t="shared" ca="1" si="8"/>
        <v>PEG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46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4"/>
        <v>27</v>
      </c>
      <c r="AK28" s="236" t="str">
        <f t="shared" ca="1" si="19"/>
        <v>BBB+</v>
      </c>
      <c r="AL28" s="236">
        <f t="shared" ca="1" si="19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0"/>
        <v>25</v>
      </c>
      <c r="AW28" s="234">
        <f>COUNTIF( AV$7:AV28, AV28 )</f>
        <v>10</v>
      </c>
      <c r="AX28" s="287">
        <f t="shared" si="21"/>
        <v>26</v>
      </c>
      <c r="AY28" s="234">
        <f t="shared" si="22"/>
        <v>34</v>
      </c>
      <c r="AZ28" s="236"/>
      <c r="BA28" s="236"/>
      <c r="BC28" s="234">
        <f t="shared" ca="1" si="23"/>
        <v>22</v>
      </c>
      <c r="BD28" s="288">
        <f t="shared" ca="1" si="7"/>
        <v>45</v>
      </c>
      <c r="BF28" s="240" t="str">
        <f t="shared" ca="1" si="8"/>
        <v>SCANA Corporation</v>
      </c>
      <c r="BG28" s="240" t="str">
        <f t="shared" ca="1" si="8"/>
        <v>BBB+</v>
      </c>
      <c r="BH28" s="240">
        <f t="shared" ca="1" si="8"/>
        <v>19</v>
      </c>
      <c r="BI28" s="240" t="str">
        <f t="shared" ca="1" si="8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47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4"/>
        <v>28</v>
      </c>
      <c r="AK29" s="236" t="str">
        <f t="shared" ca="1" si="19"/>
        <v>BBB+</v>
      </c>
      <c r="AL29" s="236">
        <f t="shared" ca="1" si="19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0"/>
        <v>45</v>
      </c>
      <c r="AW29" s="234">
        <f>COUNTIF( AV$7:AV29, AV29 )</f>
        <v>3</v>
      </c>
      <c r="AX29" s="287">
        <f t="shared" si="21"/>
        <v>45.3</v>
      </c>
      <c r="AY29" s="234">
        <f t="shared" si="22"/>
        <v>47</v>
      </c>
      <c r="AZ29" s="236"/>
      <c r="BA29" s="236"/>
      <c r="BC29" s="234">
        <f t="shared" ca="1" si="23"/>
        <v>23</v>
      </c>
      <c r="BD29" s="288">
        <f t="shared" ca="1" si="7"/>
        <v>46</v>
      </c>
      <c r="BF29" s="240" t="str">
        <f t="shared" ca="1" si="8"/>
        <v>Sempra Energy</v>
      </c>
      <c r="BG29" s="240" t="str">
        <f t="shared" ca="1" si="8"/>
        <v>BBB+</v>
      </c>
      <c r="BH29" s="240">
        <f t="shared" ca="1" si="8"/>
        <v>19</v>
      </c>
      <c r="BI29" s="240" t="str">
        <f t="shared" ca="1" si="8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49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4"/>
        <v>29</v>
      </c>
      <c r="AK30" s="236" t="str">
        <f t="shared" ca="1" si="19"/>
        <v>BBB+</v>
      </c>
      <c r="AL30" s="236">
        <f t="shared" ca="1" si="19"/>
        <v>19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0"/>
        <v>25</v>
      </c>
      <c r="AW30" s="234">
        <f>COUNTIF( AV$7:AV30, AV30 )</f>
        <v>11</v>
      </c>
      <c r="AX30" s="287">
        <f t="shared" si="21"/>
        <v>26.1</v>
      </c>
      <c r="AY30" s="234">
        <f t="shared" si="22"/>
        <v>35</v>
      </c>
      <c r="AZ30" s="236"/>
      <c r="BA30" s="236"/>
      <c r="BC30" s="234">
        <f t="shared" ca="1" si="23"/>
        <v>24</v>
      </c>
      <c r="BD30" s="288">
        <f t="shared" ca="1" si="7"/>
        <v>48</v>
      </c>
      <c r="BF30" s="240" t="str">
        <f t="shared" ca="1" si="8"/>
        <v>TECO Energy, Inc.</v>
      </c>
      <c r="BG30" s="240" t="str">
        <f t="shared" ca="1" si="8"/>
        <v>BBB+</v>
      </c>
      <c r="BH30" s="240">
        <f t="shared" ca="1" si="8"/>
        <v>19</v>
      </c>
      <c r="BI30" s="240" t="str">
        <f t="shared" ca="1" si="8"/>
        <v>TE</v>
      </c>
    </row>
    <row r="31" spans="1:61" ht="13.8" x14ac:dyDescent="0.25">
      <c r="A31" s="303" t="s">
        <v>9</v>
      </c>
      <c r="B31" s="304" t="s">
        <v>28</v>
      </c>
      <c r="C31" s="304">
        <v>18</v>
      </c>
      <c r="D31" s="304" t="s">
        <v>273</v>
      </c>
      <c r="E31" s="305" t="str">
        <f t="shared" ca="1" si="0"/>
        <v>R</v>
      </c>
      <c r="F31" s="306"/>
      <c r="G31" s="307">
        <f t="shared" ca="1" si="1"/>
        <v>9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4"/>
        <v>30</v>
      </c>
      <c r="AK31" s="236" t="str">
        <f t="shared" ca="1" si="19"/>
        <v>BBB</v>
      </c>
      <c r="AL31" s="236">
        <f t="shared" ca="1" si="19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0"/>
        <v>25</v>
      </c>
      <c r="AW31" s="234">
        <f>COUNTIF( AV$7:AV31, AV31 )</f>
        <v>12</v>
      </c>
      <c r="AX31" s="287">
        <f t="shared" si="21"/>
        <v>26.2</v>
      </c>
      <c r="AY31" s="234">
        <f t="shared" si="22"/>
        <v>36</v>
      </c>
      <c r="AZ31" s="236"/>
      <c r="BA31" s="236"/>
      <c r="BC31" s="234">
        <f t="shared" ca="1" si="23"/>
        <v>25</v>
      </c>
      <c r="BD31" s="288">
        <f t="shared" ca="1" si="7"/>
        <v>3</v>
      </c>
      <c r="BF31" s="240" t="str">
        <f t="shared" ca="1" si="8"/>
        <v>Ameren Corporation</v>
      </c>
      <c r="BG31" s="240" t="str">
        <f t="shared" ca="1" si="8"/>
        <v>BBB</v>
      </c>
      <c r="BH31" s="240">
        <f t="shared" ca="1" si="8"/>
        <v>18</v>
      </c>
      <c r="BI31" s="240" t="str">
        <f t="shared" ca="1" si="8"/>
        <v>AEE</v>
      </c>
    </row>
    <row r="32" spans="1:61" ht="13.8" x14ac:dyDescent="0.25">
      <c r="A32" s="303" t="s">
        <v>258</v>
      </c>
      <c r="B32" s="304" t="s">
        <v>28</v>
      </c>
      <c r="C32" s="304">
        <v>18</v>
      </c>
      <c r="D32" s="304" t="s">
        <v>274</v>
      </c>
      <c r="E32" s="305" t="str">
        <f t="shared" ca="1" si="0"/>
        <v>R</v>
      </c>
      <c r="F32" s="306"/>
      <c r="G32" s="307">
        <f t="shared" ca="1" si="1"/>
        <v>10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4"/>
        <v>31</v>
      </c>
      <c r="AK32" s="236" t="str">
        <f t="shared" ca="1" si="19"/>
        <v>BBB</v>
      </c>
      <c r="AL32" s="236">
        <f t="shared" ca="1" si="19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9" t="s">
        <v>330</v>
      </c>
      <c r="AV32" s="234">
        <f t="shared" si="20"/>
        <v>2</v>
      </c>
      <c r="AW32" s="234">
        <f>COUNTIF( AV$7:AV32, AV32 )</f>
        <v>5</v>
      </c>
      <c r="AX32" s="287">
        <f t="shared" si="21"/>
        <v>2.5</v>
      </c>
      <c r="AY32" s="234">
        <f t="shared" si="22"/>
        <v>6</v>
      </c>
      <c r="AZ32" s="236"/>
      <c r="BA32" s="236"/>
      <c r="BC32" s="234">
        <f t="shared" ca="1" si="23"/>
        <v>26</v>
      </c>
      <c r="BD32" s="288">
        <f t="shared" ca="1" si="7"/>
        <v>4</v>
      </c>
      <c r="BF32" s="240" t="str">
        <f t="shared" ca="1" si="8"/>
        <v>American Electric Power Company, Inc.</v>
      </c>
      <c r="BG32" s="240" t="str">
        <f t="shared" ca="1" si="8"/>
        <v>BBB</v>
      </c>
      <c r="BH32" s="240">
        <f t="shared" ca="1" si="8"/>
        <v>18</v>
      </c>
      <c r="BI32" s="240" t="str">
        <f t="shared" ca="1" si="8"/>
        <v>AEP</v>
      </c>
    </row>
    <row r="33" spans="1:61" ht="13.8" x14ac:dyDescent="0.25">
      <c r="A33" s="303" t="s">
        <v>55</v>
      </c>
      <c r="B33" s="304" t="s">
        <v>28</v>
      </c>
      <c r="C33" s="304">
        <v>18</v>
      </c>
      <c r="D33" s="304" t="s">
        <v>277</v>
      </c>
      <c r="E33" s="305" t="str">
        <f t="shared" ca="1" si="0"/>
        <v>R</v>
      </c>
      <c r="F33" s="306"/>
      <c r="G33" s="307">
        <f t="shared" ca="1" si="1"/>
        <v>11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4"/>
        <v>32</v>
      </c>
      <c r="AK33" s="236" t="str">
        <f t="shared" ca="1" si="19"/>
        <v>BBB</v>
      </c>
      <c r="AL33" s="236">
        <f t="shared" ca="1" si="19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0"/>
        <v>45</v>
      </c>
      <c r="AW33" s="234">
        <f>COUNTIF( AV$7:AV33, AV33 )</f>
        <v>4</v>
      </c>
      <c r="AX33" s="287">
        <f t="shared" si="21"/>
        <v>45.4</v>
      </c>
      <c r="AY33" s="234">
        <f t="shared" si="22"/>
        <v>48</v>
      </c>
      <c r="AZ33" s="236"/>
      <c r="BA33" s="236"/>
      <c r="BC33" s="234">
        <f t="shared" ca="1" si="23"/>
        <v>27</v>
      </c>
      <c r="BD33" s="288">
        <f t="shared" ca="1" si="7"/>
        <v>5</v>
      </c>
      <c r="BF33" s="240" t="str">
        <f t="shared" ca="1" si="8"/>
        <v>Avista Corporation</v>
      </c>
      <c r="BG33" s="240" t="str">
        <f t="shared" ca="1" si="8"/>
        <v>BBB</v>
      </c>
      <c r="BH33" s="240">
        <f t="shared" ca="1" si="8"/>
        <v>18</v>
      </c>
      <c r="BI33" s="240" t="str">
        <f t="shared" ca="1" si="8"/>
        <v>AVA</v>
      </c>
    </row>
    <row r="34" spans="1:61" ht="13.8" x14ac:dyDescent="0.25">
      <c r="A34" s="303" t="s">
        <v>48</v>
      </c>
      <c r="B34" s="304" t="s">
        <v>28</v>
      </c>
      <c r="C34" s="304">
        <v>18</v>
      </c>
      <c r="D34" s="304" t="s">
        <v>279</v>
      </c>
      <c r="E34" s="305" t="str">
        <f t="shared" ca="1" si="0"/>
        <v>R</v>
      </c>
      <c r="F34" s="306"/>
      <c r="G34" s="307">
        <f t="shared" ca="1" si="1"/>
        <v>12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>
        <f t="shared" ca="1" si="3"/>
        <v>1</v>
      </c>
      <c r="AH34" s="236" t="str">
        <f t="shared" ca="1" si="18"/>
        <v/>
      </c>
      <c r="AJ34" s="236">
        <f t="shared" ca="1" si="4"/>
        <v>50</v>
      </c>
      <c r="AK34" s="236" t="str">
        <f t="shared" ca="1" si="19"/>
        <v>BBB-</v>
      </c>
      <c r="AL34" s="236">
        <f t="shared" ca="1" si="19"/>
        <v>17</v>
      </c>
      <c r="AM34" s="236" t="str">
        <f t="shared" ca="1" si="5"/>
        <v>Change</v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0"/>
        <v>13</v>
      </c>
      <c r="AW34" s="234">
        <f>COUNTIF( AV$7:AV34, AV34 )</f>
        <v>5</v>
      </c>
      <c r="AX34" s="287">
        <f t="shared" si="21"/>
        <v>13.5</v>
      </c>
      <c r="AY34" s="234">
        <f t="shared" si="22"/>
        <v>17</v>
      </c>
      <c r="AZ34" s="236"/>
      <c r="BA34" s="236"/>
      <c r="BC34" s="234">
        <f t="shared" ca="1" si="23"/>
        <v>28</v>
      </c>
      <c r="BD34" s="288">
        <f t="shared" ca="1" si="7"/>
        <v>6</v>
      </c>
      <c r="BF34" s="240" t="str">
        <f t="shared" ca="1" si="8"/>
        <v>Black Hills Corporation</v>
      </c>
      <c r="BG34" s="240" t="str">
        <f t="shared" ca="1" si="8"/>
        <v>BBB</v>
      </c>
      <c r="BH34" s="240">
        <f t="shared" ca="1" si="8"/>
        <v>18</v>
      </c>
      <c r="BI34" s="240" t="str">
        <f t="shared" ca="1" si="8"/>
        <v>BKH</v>
      </c>
    </row>
    <row r="35" spans="1:61" ht="13.8" x14ac:dyDescent="0.25">
      <c r="A35" s="303" t="s">
        <v>60</v>
      </c>
      <c r="B35" s="304" t="s">
        <v>28</v>
      </c>
      <c r="C35" s="304">
        <v>18</v>
      </c>
      <c r="D35" s="304" t="s">
        <v>283</v>
      </c>
      <c r="E35" s="305" t="str">
        <f t="shared" ca="1" si="0"/>
        <v>R</v>
      </c>
      <c r="F35" s="306"/>
      <c r="G35" s="307">
        <f t="shared" ca="1" si="1"/>
        <v>15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4"/>
        <v>34</v>
      </c>
      <c r="AK35" s="236" t="str">
        <f t="shared" ca="1" si="19"/>
        <v>BBB</v>
      </c>
      <c r="AL35" s="236">
        <f t="shared" ca="1" si="19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0"/>
        <v>13</v>
      </c>
      <c r="AW35" s="234">
        <f>COUNTIF( AV$7:AV35, AV35 )</f>
        <v>6</v>
      </c>
      <c r="AX35" s="287">
        <f t="shared" si="21"/>
        <v>13.6</v>
      </c>
      <c r="AY35" s="234">
        <f t="shared" si="22"/>
        <v>18</v>
      </c>
      <c r="AZ35" s="236"/>
      <c r="BA35" s="236"/>
      <c r="BC35" s="234">
        <f t="shared" ca="1" si="23"/>
        <v>29</v>
      </c>
      <c r="BD35" s="288">
        <f t="shared" ca="1" si="7"/>
        <v>9</v>
      </c>
      <c r="BF35" s="240" t="str">
        <f t="shared" ca="1" si="8"/>
        <v>CMS Energy Corporation</v>
      </c>
      <c r="BG35" s="240" t="str">
        <f t="shared" ca="1" si="8"/>
        <v>BBB</v>
      </c>
      <c r="BH35" s="240">
        <f t="shared" ca="1" si="8"/>
        <v>18</v>
      </c>
      <c r="BI35" s="240" t="str">
        <f t="shared" ca="1" si="8"/>
        <v>CMS</v>
      </c>
    </row>
    <row r="36" spans="1:61" ht="13.8" x14ac:dyDescent="0.25">
      <c r="A36" s="303" t="s">
        <v>34</v>
      </c>
      <c r="B36" s="304" t="s">
        <v>28</v>
      </c>
      <c r="C36" s="304">
        <v>18</v>
      </c>
      <c r="D36" s="304" t="s">
        <v>293</v>
      </c>
      <c r="E36" s="305" t="str">
        <f t="shared" ca="1" si="0"/>
        <v>R</v>
      </c>
      <c r="F36" s="306"/>
      <c r="G36" s="307">
        <f t="shared" ca="1" si="1"/>
        <v>21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4"/>
        <v>35</v>
      </c>
      <c r="AK36" s="236" t="str">
        <f t="shared" ca="1" si="19"/>
        <v>BBB</v>
      </c>
      <c r="AL36" s="236">
        <f t="shared" ca="1" si="19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0"/>
        <v>2</v>
      </c>
      <c r="AW36" s="234">
        <f>COUNTIF( AV$7:AV36, AV36 )</f>
        <v>6</v>
      </c>
      <c r="AX36" s="287">
        <f t="shared" si="21"/>
        <v>2.6</v>
      </c>
      <c r="AY36" s="234">
        <f t="shared" si="22"/>
        <v>7</v>
      </c>
      <c r="AZ36" s="236"/>
      <c r="BA36" s="236"/>
      <c r="BC36" s="234">
        <f t="shared" ca="1" si="23"/>
        <v>30</v>
      </c>
      <c r="BD36" s="288">
        <f t="shared" ca="1" si="7"/>
        <v>16</v>
      </c>
      <c r="BF36" s="240" t="str">
        <f t="shared" ca="1" si="8"/>
        <v>El Paso Electric Company</v>
      </c>
      <c r="BG36" s="240" t="str">
        <f t="shared" ca="1" si="8"/>
        <v>BBB</v>
      </c>
      <c r="BH36" s="240">
        <f t="shared" ca="1" si="8"/>
        <v>18</v>
      </c>
      <c r="BI36" s="240" t="str">
        <f t="shared" ca="1" si="8"/>
        <v>EE</v>
      </c>
    </row>
    <row r="37" spans="1:61" ht="13.8" x14ac:dyDescent="0.25">
      <c r="A37" s="303" t="s">
        <v>35</v>
      </c>
      <c r="B37" s="304" t="s">
        <v>28</v>
      </c>
      <c r="C37" s="304">
        <v>18</v>
      </c>
      <c r="D37" s="304" t="s">
        <v>292</v>
      </c>
      <c r="E37" s="305" t="str">
        <f t="shared" ca="1" si="0"/>
        <v>R</v>
      </c>
      <c r="F37" s="306"/>
      <c r="G37" s="307">
        <f t="shared" ca="1" si="1"/>
        <v>22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4"/>
        <v>36</v>
      </c>
      <c r="AK37" s="236" t="str">
        <f t="shared" ca="1" si="19"/>
        <v>BBB</v>
      </c>
      <c r="AL37" s="236">
        <f t="shared" ca="1" si="19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0"/>
        <v>45</v>
      </c>
      <c r="AW37" s="234">
        <f>COUNTIF( AV$7:AV37, AV37 )</f>
        <v>5</v>
      </c>
      <c r="AX37" s="287">
        <f t="shared" si="21"/>
        <v>45.5</v>
      </c>
      <c r="AY37" s="234">
        <f t="shared" si="22"/>
        <v>49</v>
      </c>
      <c r="AZ37" s="236"/>
      <c r="BA37" s="236"/>
      <c r="BC37" s="234">
        <f t="shared" ca="1" si="23"/>
        <v>31</v>
      </c>
      <c r="BD37" s="288">
        <f t="shared" ca="1" si="7"/>
        <v>17</v>
      </c>
      <c r="BF37" s="240" t="str">
        <f t="shared" ca="1" si="8"/>
        <v>Empire District Electric Company</v>
      </c>
      <c r="BG37" s="240" t="str">
        <f t="shared" ca="1" si="8"/>
        <v>BBB</v>
      </c>
      <c r="BH37" s="240">
        <f t="shared" ca="1" si="8"/>
        <v>18</v>
      </c>
      <c r="BI37" s="240" t="str">
        <f t="shared" ca="1" si="8"/>
        <v>EDE</v>
      </c>
    </row>
    <row r="38" spans="1:61" ht="13.8" x14ac:dyDescent="0.25">
      <c r="A38" s="303" t="s">
        <v>36</v>
      </c>
      <c r="B38" s="304" t="s">
        <v>28</v>
      </c>
      <c r="C38" s="304">
        <v>18</v>
      </c>
      <c r="D38" s="304" t="s">
        <v>296</v>
      </c>
      <c r="E38" s="305" t="str">
        <f t="shared" ca="1" si="0"/>
        <v>R</v>
      </c>
      <c r="F38" s="306"/>
      <c r="G38" s="307">
        <f t="shared" ca="1" si="1"/>
        <v>23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4"/>
        <v>37</v>
      </c>
      <c r="AK38" s="236" t="str">
        <f t="shared" ca="1" si="19"/>
        <v>BBB</v>
      </c>
      <c r="AL38" s="236">
        <f t="shared" ca="1" si="19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0"/>
        <v>2</v>
      </c>
      <c r="AW38" s="234">
        <f>COUNTIF( AV$7:AV38, AV38 )</f>
        <v>7</v>
      </c>
      <c r="AX38" s="287">
        <f t="shared" si="21"/>
        <v>2.7</v>
      </c>
      <c r="AY38" s="234">
        <f t="shared" si="22"/>
        <v>8</v>
      </c>
      <c r="AZ38" s="236"/>
      <c r="BA38" s="236"/>
      <c r="BC38" s="234">
        <f t="shared" ca="1" si="23"/>
        <v>32</v>
      </c>
      <c r="BD38" s="288">
        <f t="shared" ca="1" si="7"/>
        <v>19</v>
      </c>
      <c r="BF38" s="240" t="str">
        <f t="shared" ca="1" si="8"/>
        <v>Entergy Corporation</v>
      </c>
      <c r="BG38" s="240" t="str">
        <f t="shared" ca="1" si="8"/>
        <v>BBB</v>
      </c>
      <c r="BH38" s="240">
        <f t="shared" ca="1" si="8"/>
        <v>18</v>
      </c>
      <c r="BI38" s="240" t="str">
        <f t="shared" ca="1" si="8"/>
        <v>ETR</v>
      </c>
    </row>
    <row r="39" spans="1:61" ht="13.8" x14ac:dyDescent="0.25">
      <c r="A39" s="303" t="s">
        <v>11</v>
      </c>
      <c r="B39" s="304" t="s">
        <v>28</v>
      </c>
      <c r="C39" s="304">
        <v>18</v>
      </c>
      <c r="D39" s="304" t="s">
        <v>297</v>
      </c>
      <c r="E39" s="305" t="str">
        <f t="shared" ca="1" si="0"/>
        <v>MR</v>
      </c>
      <c r="F39" s="306"/>
      <c r="G39" s="307">
        <f t="shared" ca="1" si="1"/>
        <v>24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4"/>
        <v>38</v>
      </c>
      <c r="AK39" s="236" t="str">
        <f t="shared" ca="1" si="19"/>
        <v>BBB</v>
      </c>
      <c r="AL39" s="236">
        <f t="shared" ca="1" si="19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0"/>
        <v>25</v>
      </c>
      <c r="AW39" s="234">
        <f>COUNTIF( AV$7:AV39, AV39 )</f>
        <v>13</v>
      </c>
      <c r="AX39" s="287">
        <f t="shared" si="21"/>
        <v>26.3</v>
      </c>
      <c r="AY39" s="234">
        <f t="shared" si="22"/>
        <v>37</v>
      </c>
      <c r="AZ39" s="236"/>
      <c r="BA39" s="236"/>
      <c r="BC39" s="234">
        <f t="shared" ca="1" si="23"/>
        <v>33</v>
      </c>
      <c r="BD39" s="288">
        <f t="shared" ca="1" si="7"/>
        <v>20</v>
      </c>
      <c r="BF39" s="240" t="str">
        <f t="shared" ref="BF39:BI63" ca="1" si="24">OFFSET( AQ$6, $BD39, 0 )</f>
        <v>Exelon Corporation</v>
      </c>
      <c r="BG39" s="240" t="str">
        <f t="shared" ca="1" si="24"/>
        <v>BBB</v>
      </c>
      <c r="BH39" s="240">
        <f t="shared" ca="1" si="24"/>
        <v>18</v>
      </c>
      <c r="BI39" s="240" t="str">
        <f t="shared" ca="1" si="24"/>
        <v>EXC</v>
      </c>
    </row>
    <row r="40" spans="1:61" ht="13.8" x14ac:dyDescent="0.25">
      <c r="A40" s="303" t="s">
        <v>260</v>
      </c>
      <c r="B40" s="304" t="s">
        <v>28</v>
      </c>
      <c r="C40" s="304">
        <v>18</v>
      </c>
      <c r="D40" s="304" t="s">
        <v>300</v>
      </c>
      <c r="E40" s="305" t="str">
        <f t="shared" ca="1" si="0"/>
        <v>R</v>
      </c>
      <c r="F40" s="306"/>
      <c r="G40" s="307">
        <f t="shared" ca="1" si="1"/>
        <v>26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4"/>
        <v>39</v>
      </c>
      <c r="AK40" s="236" t="str">
        <f t="shared" ca="1" si="19"/>
        <v>BBB</v>
      </c>
      <c r="AL40" s="236">
        <f t="shared" ca="1" si="19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0"/>
        <v>45</v>
      </c>
      <c r="AW40" s="234">
        <f>COUNTIF( AV$7:AV40, AV40 )</f>
        <v>6</v>
      </c>
      <c r="AX40" s="287">
        <f t="shared" si="21"/>
        <v>45.6</v>
      </c>
      <c r="AY40" s="234">
        <f t="shared" si="22"/>
        <v>50</v>
      </c>
      <c r="AZ40" s="236"/>
      <c r="BA40" s="236"/>
      <c r="BC40" s="234">
        <f t="shared" ca="1" si="23"/>
        <v>34</v>
      </c>
      <c r="BD40" s="288">
        <f t="shared" ca="1" si="7"/>
        <v>22</v>
      </c>
      <c r="BF40" s="240" t="str">
        <f t="shared" ca="1" si="24"/>
        <v>Great Plains Energy Inc.</v>
      </c>
      <c r="BG40" s="240" t="str">
        <f t="shared" ca="1" si="24"/>
        <v>BBB</v>
      </c>
      <c r="BH40" s="240">
        <f t="shared" ca="1" si="24"/>
        <v>18</v>
      </c>
      <c r="BI40" s="240" t="str">
        <f t="shared" ca="1" si="24"/>
        <v>GXP</v>
      </c>
    </row>
    <row r="41" spans="1:61" ht="13.8" x14ac:dyDescent="0.25">
      <c r="A41" s="303" t="s">
        <v>451</v>
      </c>
      <c r="B41" s="304" t="s">
        <v>28</v>
      </c>
      <c r="C41" s="304">
        <v>18</v>
      </c>
      <c r="D41" s="304" t="s">
        <v>443</v>
      </c>
      <c r="E41" s="305" t="str">
        <f t="shared" ca="1" si="0"/>
        <v>R</v>
      </c>
      <c r="F41" s="306"/>
      <c r="G41" s="307">
        <f t="shared" ca="1" si="1"/>
        <v>58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4"/>
        <v>40</v>
      </c>
      <c r="AK41" s="236" t="str">
        <f t="shared" ca="1" si="19"/>
        <v>BBB</v>
      </c>
      <c r="AL41" s="236">
        <f t="shared" ca="1" si="19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0"/>
        <v>2</v>
      </c>
      <c r="AW41" s="234">
        <f>COUNTIF( AV$7:AV41, AV41 )</f>
        <v>8</v>
      </c>
      <c r="AX41" s="287">
        <f t="shared" si="21"/>
        <v>2.8</v>
      </c>
      <c r="AY41" s="234">
        <f t="shared" si="22"/>
        <v>9</v>
      </c>
      <c r="AZ41" s="236"/>
      <c r="BA41" s="236"/>
      <c r="BC41" s="234">
        <f t="shared" ca="1" si="23"/>
        <v>35</v>
      </c>
      <c r="BD41" s="288">
        <f t="shared" ca="1" si="7"/>
        <v>24</v>
      </c>
      <c r="BF41" s="240" t="str">
        <f t="shared" ca="1" si="24"/>
        <v>Iberdrola USA</v>
      </c>
      <c r="BG41" s="240" t="str">
        <f t="shared" ca="1" si="24"/>
        <v>BBB</v>
      </c>
      <c r="BH41" s="240">
        <f t="shared" ca="1" si="24"/>
        <v>18</v>
      </c>
      <c r="BI41" s="240" t="str">
        <f t="shared" ca="1" si="24"/>
        <v>**EAST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0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4"/>
        <v>41</v>
      </c>
      <c r="AK42" s="236" t="str">
        <f t="shared" ca="1" si="19"/>
        <v>BBB</v>
      </c>
      <c r="AL42" s="236">
        <f t="shared" ca="1" si="19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9" t="s">
        <v>316</v>
      </c>
      <c r="AV42" s="234">
        <f t="shared" si="20"/>
        <v>25</v>
      </c>
      <c r="AW42" s="234">
        <f>COUNTIF( AV$7:AV42, AV42 )</f>
        <v>14</v>
      </c>
      <c r="AX42" s="287">
        <f t="shared" si="21"/>
        <v>26.4</v>
      </c>
      <c r="AY42" s="234">
        <f t="shared" si="22"/>
        <v>38</v>
      </c>
      <c r="AZ42" s="236"/>
      <c r="BA42" s="236"/>
      <c r="BC42" s="234">
        <f t="shared" ca="1" si="23"/>
        <v>36</v>
      </c>
      <c r="BD42" s="288">
        <f t="shared" ca="1" si="7"/>
        <v>25</v>
      </c>
      <c r="BF42" s="240" t="str">
        <f t="shared" ca="1" si="24"/>
        <v>IDACORP, Inc.</v>
      </c>
      <c r="BG42" s="240" t="str">
        <f t="shared" ca="1" si="24"/>
        <v>BBB</v>
      </c>
      <c r="BH42" s="240">
        <f t="shared" ca="1" si="24"/>
        <v>18</v>
      </c>
      <c r="BI42" s="240" t="str">
        <f t="shared" ca="1" si="24"/>
        <v>IDA</v>
      </c>
    </row>
    <row r="43" spans="1:61" ht="13.8" x14ac:dyDescent="0.25">
      <c r="A43" s="303" t="s">
        <v>66</v>
      </c>
      <c r="B43" s="304" t="s">
        <v>28</v>
      </c>
      <c r="C43" s="304">
        <v>18</v>
      </c>
      <c r="D43" s="304" t="s">
        <v>314</v>
      </c>
      <c r="E43" s="305" t="str">
        <f t="shared" ca="1" si="0"/>
        <v>R</v>
      </c>
      <c r="F43" s="306"/>
      <c r="G43" s="307">
        <f t="shared" ca="1" si="1"/>
        <v>35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4"/>
        <v>42</v>
      </c>
      <c r="AK43" s="236" t="str">
        <f t="shared" ca="1" si="19"/>
        <v>BBB</v>
      </c>
      <c r="AL43" s="236">
        <f t="shared" ca="1" si="19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0"/>
        <v>13</v>
      </c>
      <c r="AW43" s="234">
        <f>COUNTIF( AV$7:AV43, AV43 )</f>
        <v>7</v>
      </c>
      <c r="AX43" s="287">
        <f t="shared" si="21"/>
        <v>13.7</v>
      </c>
      <c r="AY43" s="234">
        <f t="shared" si="22"/>
        <v>19</v>
      </c>
      <c r="AZ43" s="236"/>
      <c r="BA43" s="236"/>
      <c r="BC43" s="234">
        <f t="shared" ca="1" si="23"/>
        <v>37</v>
      </c>
      <c r="BD43" s="288">
        <f t="shared" ca="1" si="7"/>
        <v>33</v>
      </c>
      <c r="BF43" s="240" t="str">
        <f t="shared" ca="1" si="24"/>
        <v>NorthWestern Corporation</v>
      </c>
      <c r="BG43" s="240" t="str">
        <f t="shared" ca="1" si="24"/>
        <v>BBB</v>
      </c>
      <c r="BH43" s="240">
        <f t="shared" ca="1" si="24"/>
        <v>18</v>
      </c>
      <c r="BI43" s="240" t="str">
        <f t="shared" ca="1" si="24"/>
        <v>NWE</v>
      </c>
    </row>
    <row r="44" spans="1:61" ht="13.8" x14ac:dyDescent="0.25">
      <c r="A44" s="303" t="s">
        <v>22</v>
      </c>
      <c r="B44" s="304" t="s">
        <v>28</v>
      </c>
      <c r="C44" s="304">
        <v>18</v>
      </c>
      <c r="D44" s="304" t="s">
        <v>316</v>
      </c>
      <c r="E44" s="305" t="str">
        <f t="shared" ca="1" si="0"/>
        <v>MR</v>
      </c>
      <c r="F44" s="306"/>
      <c r="G44" s="307">
        <f t="shared" ca="1" si="1"/>
        <v>38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4"/>
        <v>43</v>
      </c>
      <c r="AK44" s="236" t="str">
        <f t="shared" ca="1" si="19"/>
        <v>BBB</v>
      </c>
      <c r="AL44" s="236">
        <f t="shared" ca="1" si="19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0"/>
        <v>25</v>
      </c>
      <c r="AW44" s="234">
        <f>COUNTIF( AV$7:AV44, AV44 )</f>
        <v>15</v>
      </c>
      <c r="AX44" s="287">
        <f t="shared" si="21"/>
        <v>26.5</v>
      </c>
      <c r="AY44" s="234">
        <f t="shared" si="22"/>
        <v>39</v>
      </c>
      <c r="AZ44" s="236"/>
      <c r="BA44" s="236"/>
      <c r="BC44" s="234">
        <f t="shared" ca="1" si="23"/>
        <v>38</v>
      </c>
      <c r="BD44" s="288">
        <f t="shared" ca="1" si="7"/>
        <v>36</v>
      </c>
      <c r="BF44" s="240" t="str">
        <f t="shared" ca="1" si="24"/>
        <v>Otter Tail Corporation</v>
      </c>
      <c r="BG44" s="240" t="str">
        <f t="shared" ca="1" si="24"/>
        <v>BBB</v>
      </c>
      <c r="BH44" s="240">
        <f t="shared" ca="1" si="24"/>
        <v>18</v>
      </c>
      <c r="BI44" s="240" t="str">
        <f t="shared" ca="1" si="24"/>
        <v>OTTR</v>
      </c>
    </row>
    <row r="45" spans="1:61" ht="13.8" x14ac:dyDescent="0.25">
      <c r="A45" s="303" t="s">
        <v>53</v>
      </c>
      <c r="B45" s="304" t="s">
        <v>28</v>
      </c>
      <c r="C45" s="304">
        <v>18</v>
      </c>
      <c r="D45" s="304" t="s">
        <v>317</v>
      </c>
      <c r="E45" s="305" t="str">
        <f t="shared" ca="1" si="0"/>
        <v>R</v>
      </c>
      <c r="F45" s="306"/>
      <c r="G45" s="307">
        <f t="shared" ca="1" si="1"/>
        <v>40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4"/>
        <v>44</v>
      </c>
      <c r="AK45" s="236" t="str">
        <f t="shared" ca="1" si="19"/>
        <v>BBB</v>
      </c>
      <c r="AL45" s="236">
        <f t="shared" ca="1" si="19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0"/>
        <v>13</v>
      </c>
      <c r="AW45" s="234">
        <f>COUNTIF( AV$7:AV45, AV45 )</f>
        <v>8</v>
      </c>
      <c r="AX45" s="287">
        <f t="shared" si="21"/>
        <v>13.8</v>
      </c>
      <c r="AY45" s="234">
        <f t="shared" si="22"/>
        <v>20</v>
      </c>
      <c r="AZ45" s="236"/>
      <c r="BA45" s="236"/>
      <c r="BC45" s="234">
        <f t="shared" ca="1" si="23"/>
        <v>39</v>
      </c>
      <c r="BD45" s="288">
        <f t="shared" ca="1" si="7"/>
        <v>38</v>
      </c>
      <c r="BF45" s="240" t="str">
        <f t="shared" ca="1" si="24"/>
        <v>PG&amp;E Corporation</v>
      </c>
      <c r="BG45" s="240" t="str">
        <f t="shared" ca="1" si="24"/>
        <v>BBB</v>
      </c>
      <c r="BH45" s="240">
        <f t="shared" ca="1" si="24"/>
        <v>18</v>
      </c>
      <c r="BI45" s="240" t="str">
        <f t="shared" ca="1" si="24"/>
        <v>PCG</v>
      </c>
    </row>
    <row r="46" spans="1:61" ht="13.8" x14ac:dyDescent="0.25">
      <c r="A46" s="303" t="s">
        <v>42</v>
      </c>
      <c r="B46" s="304" t="s">
        <v>28</v>
      </c>
      <c r="C46" s="304">
        <v>18</v>
      </c>
      <c r="D46" s="304" t="s">
        <v>320</v>
      </c>
      <c r="E46" s="305" t="str">
        <f t="shared" ca="1" si="0"/>
        <v>R</v>
      </c>
      <c r="F46" s="306"/>
      <c r="G46" s="307">
        <f t="shared" ca="1" si="1"/>
        <v>42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4"/>
        <v>45</v>
      </c>
      <c r="AK46" s="236" t="str">
        <f t="shared" ca="1" si="19"/>
        <v>BBB</v>
      </c>
      <c r="AL46" s="236">
        <f t="shared" ca="1" si="19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0"/>
        <v>25</v>
      </c>
      <c r="AW46" s="234">
        <f>COUNTIF( AV$7:AV46, AV46 )</f>
        <v>16</v>
      </c>
      <c r="AX46" s="287">
        <f t="shared" si="21"/>
        <v>26.6</v>
      </c>
      <c r="AY46" s="234">
        <f t="shared" si="22"/>
        <v>40</v>
      </c>
      <c r="AZ46" s="236"/>
      <c r="BA46" s="236"/>
      <c r="BC46" s="234">
        <f t="shared" ca="1" si="23"/>
        <v>40</v>
      </c>
      <c r="BD46" s="288">
        <f t="shared" ca="1" si="7"/>
        <v>40</v>
      </c>
      <c r="BF46" s="240" t="str">
        <f t="shared" ca="1" si="24"/>
        <v>PNM Resources, Inc.</v>
      </c>
      <c r="BG46" s="240" t="str">
        <f t="shared" ca="1" si="24"/>
        <v>BBB</v>
      </c>
      <c r="BH46" s="240">
        <f t="shared" ca="1" si="24"/>
        <v>18</v>
      </c>
      <c r="BI46" s="240" t="str">
        <f t="shared" ca="1" si="24"/>
        <v>PNM</v>
      </c>
    </row>
    <row r="47" spans="1:61" ht="13.8" x14ac:dyDescent="0.25">
      <c r="A47" s="303" t="s">
        <v>24</v>
      </c>
      <c r="B47" s="304" t="s">
        <v>28</v>
      </c>
      <c r="C47" s="304">
        <v>18</v>
      </c>
      <c r="D47" s="304" t="s">
        <v>323</v>
      </c>
      <c r="E47" s="305" t="str">
        <f t="shared" ca="1" si="0"/>
        <v>R</v>
      </c>
      <c r="F47" s="306"/>
      <c r="G47" s="307">
        <f t="shared" ca="1" si="1"/>
        <v>43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4"/>
        <v>46</v>
      </c>
      <c r="AK47" s="236" t="str">
        <f t="shared" ca="1" si="19"/>
        <v>BBB</v>
      </c>
      <c r="AL47" s="236">
        <f t="shared" ca="1" si="19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0"/>
        <v>25</v>
      </c>
      <c r="AW47" s="234">
        <f>COUNTIF( AV$7:AV47, AV47 )</f>
        <v>17</v>
      </c>
      <c r="AX47" s="287">
        <f t="shared" si="21"/>
        <v>26.7</v>
      </c>
      <c r="AY47" s="234">
        <f t="shared" si="22"/>
        <v>41</v>
      </c>
      <c r="AZ47" s="236"/>
      <c r="BA47" s="236"/>
      <c r="BC47" s="234">
        <f t="shared" ca="1" si="23"/>
        <v>41</v>
      </c>
      <c r="BD47" s="288">
        <f t="shared" ca="1" si="7"/>
        <v>41</v>
      </c>
      <c r="BF47" s="240" t="str">
        <f t="shared" ca="1" si="24"/>
        <v>Portland General Electric Company</v>
      </c>
      <c r="BG47" s="240" t="str">
        <f t="shared" ca="1" si="24"/>
        <v>BBB</v>
      </c>
      <c r="BH47" s="240">
        <f t="shared" ca="1" si="24"/>
        <v>18</v>
      </c>
      <c r="BI47" s="240" t="str">
        <f t="shared" ca="1" si="24"/>
        <v>POR</v>
      </c>
    </row>
    <row r="48" spans="1:61" ht="13.8" x14ac:dyDescent="0.25">
      <c r="A48" s="303" t="s">
        <v>43</v>
      </c>
      <c r="B48" s="304" t="s">
        <v>28</v>
      </c>
      <c r="C48" s="304">
        <v>18</v>
      </c>
      <c r="D48" s="304" t="s">
        <v>324</v>
      </c>
      <c r="E48" s="305" t="str">
        <f t="shared" ca="1" si="0"/>
        <v>MR</v>
      </c>
      <c r="F48" s="306"/>
      <c r="G48" s="307">
        <f t="shared" ca="1" si="1"/>
        <v>44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4"/>
        <v>47</v>
      </c>
      <c r="AK48" s="236" t="str">
        <f t="shared" ca="1" si="19"/>
        <v>BBB</v>
      </c>
      <c r="AL48" s="236">
        <f t="shared" ca="1" si="19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0"/>
        <v>25</v>
      </c>
      <c r="AW48" s="234">
        <f>COUNTIF( AV$7:AV48, AV48 )</f>
        <v>18</v>
      </c>
      <c r="AX48" s="287">
        <f t="shared" si="21"/>
        <v>26.8</v>
      </c>
      <c r="AY48" s="234">
        <f t="shared" si="22"/>
        <v>42</v>
      </c>
      <c r="AZ48" s="236"/>
      <c r="BA48" s="236"/>
      <c r="BC48" s="234">
        <f t="shared" ca="1" si="23"/>
        <v>42</v>
      </c>
      <c r="BD48" s="288">
        <f t="shared" ca="1" si="7"/>
        <v>42</v>
      </c>
      <c r="BF48" s="240" t="str">
        <f t="shared" ca="1" si="24"/>
        <v>PPL Corporation</v>
      </c>
      <c r="BG48" s="240" t="str">
        <f t="shared" ca="1" si="24"/>
        <v>BBB</v>
      </c>
      <c r="BH48" s="240">
        <f t="shared" ca="1" si="24"/>
        <v>18</v>
      </c>
      <c r="BI48" s="240" t="str">
        <f t="shared" ca="1" si="24"/>
        <v>PPL</v>
      </c>
    </row>
    <row r="49" spans="1:61" ht="13.8" x14ac:dyDescent="0.25">
      <c r="A49" s="303" t="s">
        <v>75</v>
      </c>
      <c r="B49" s="304" t="s">
        <v>28</v>
      </c>
      <c r="C49" s="304">
        <v>18</v>
      </c>
      <c r="D49" s="304" t="s">
        <v>331</v>
      </c>
      <c r="E49" s="305" t="str">
        <f t="shared" ca="1" si="0"/>
        <v>R</v>
      </c>
      <c r="F49" s="306"/>
      <c r="G49" s="307">
        <f t="shared" ca="1" si="1"/>
        <v>50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4"/>
        <v>48</v>
      </c>
      <c r="AK49" s="236" t="str">
        <f t="shared" ca="1" si="19"/>
        <v>BBB</v>
      </c>
      <c r="AL49" s="236">
        <f t="shared" ca="1" si="19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0"/>
        <v>13</v>
      </c>
      <c r="AW49" s="234">
        <f>COUNTIF( AV$7:AV49, AV49 )</f>
        <v>9</v>
      </c>
      <c r="AX49" s="287">
        <f t="shared" si="21"/>
        <v>13.9</v>
      </c>
      <c r="AY49" s="234">
        <f t="shared" si="22"/>
        <v>21</v>
      </c>
      <c r="AZ49" s="236"/>
      <c r="BA49" s="236"/>
      <c r="BC49" s="234">
        <f t="shared" ca="1" si="23"/>
        <v>43</v>
      </c>
      <c r="BD49" s="288">
        <f t="shared" ca="1" si="7"/>
        <v>49</v>
      </c>
      <c r="BF49" s="240" t="str">
        <f t="shared" ca="1" si="24"/>
        <v>UIL Holdings Corporation</v>
      </c>
      <c r="BG49" s="240" t="str">
        <f t="shared" ca="1" si="24"/>
        <v>BBB</v>
      </c>
      <c r="BH49" s="240">
        <f t="shared" ca="1" si="24"/>
        <v>18</v>
      </c>
      <c r="BI49" s="240" t="str">
        <f t="shared" ca="1" si="24"/>
        <v>UIL</v>
      </c>
    </row>
    <row r="50" spans="1:61" ht="13.8" x14ac:dyDescent="0.25">
      <c r="A50" s="303" t="s">
        <v>59</v>
      </c>
      <c r="B50" s="304" t="s">
        <v>28</v>
      </c>
      <c r="C50" s="304">
        <v>18</v>
      </c>
      <c r="D50" s="304" t="s">
        <v>336</v>
      </c>
      <c r="E50" s="305" t="str">
        <f t="shared" ca="1" si="0"/>
        <v>R</v>
      </c>
      <c r="F50" s="306"/>
      <c r="G50" s="307">
        <f t="shared" ca="1" si="1"/>
        <v>54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4"/>
        <v>49</v>
      </c>
      <c r="AK50" s="236" t="str">
        <f t="shared" ca="1" si="19"/>
        <v>BBB</v>
      </c>
      <c r="AL50" s="236">
        <f t="shared" ca="1" si="19"/>
        <v>18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0"/>
        <v>51</v>
      </c>
      <c r="AW50" s="234">
        <f>COUNTIF( AV$7:AV50, AV50 )</f>
        <v>1</v>
      </c>
      <c r="AX50" s="287">
        <f t="shared" si="21"/>
        <v>51.1</v>
      </c>
      <c r="AY50" s="234">
        <f t="shared" si="22"/>
        <v>51</v>
      </c>
      <c r="AZ50" s="236"/>
      <c r="BA50" s="236"/>
      <c r="BC50" s="234">
        <f t="shared" ca="1" si="23"/>
        <v>44</v>
      </c>
      <c r="BD50" s="288">
        <f t="shared" ca="1" si="7"/>
        <v>51</v>
      </c>
      <c r="BF50" s="240" t="str">
        <f t="shared" ca="1" si="24"/>
        <v>Westar Energy, Inc.</v>
      </c>
      <c r="BG50" s="240" t="str">
        <f t="shared" ca="1" si="24"/>
        <v>BBB</v>
      </c>
      <c r="BH50" s="240">
        <f t="shared" ca="1" si="24"/>
        <v>18</v>
      </c>
      <c r="BI50" s="240" t="str">
        <f t="shared" ca="1" si="24"/>
        <v>WR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8"/>
        <v/>
      </c>
      <c r="AJ51" s="236">
        <f t="shared" ca="1" si="4"/>
        <v>51</v>
      </c>
      <c r="AK51" s="236" t="str">
        <f t="shared" ca="1" si="19"/>
        <v>BBB-</v>
      </c>
      <c r="AL51" s="236">
        <f t="shared" ca="1" si="19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0"/>
        <v>13</v>
      </c>
      <c r="AW51" s="234">
        <f>COUNTIF( AV$7:AV51, AV51 )</f>
        <v>10</v>
      </c>
      <c r="AX51" s="287">
        <f t="shared" si="21"/>
        <v>14</v>
      </c>
      <c r="AY51" s="234">
        <f t="shared" si="22"/>
        <v>22</v>
      </c>
      <c r="AZ51" s="236"/>
      <c r="BA51" s="236"/>
      <c r="BC51" s="234">
        <f t="shared" ca="1" si="23"/>
        <v>45</v>
      </c>
      <c r="BD51" s="288">
        <f t="shared" ca="1" si="7"/>
        <v>15</v>
      </c>
      <c r="BF51" s="240" t="str">
        <f t="shared" ca="1" si="24"/>
        <v>Edison International</v>
      </c>
      <c r="BG51" s="240" t="str">
        <f t="shared" ca="1" si="24"/>
        <v>BBB-</v>
      </c>
      <c r="BH51" s="240">
        <f t="shared" ca="1" si="24"/>
        <v>17</v>
      </c>
      <c r="BI51" s="240" t="str">
        <f t="shared" ca="1" si="24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8"/>
        <v/>
      </c>
      <c r="AJ52" s="236">
        <f t="shared" ca="1" si="4"/>
        <v>52</v>
      </c>
      <c r="AK52" s="236" t="str">
        <f t="shared" ca="1" si="19"/>
        <v>BBB-</v>
      </c>
      <c r="AL52" s="236">
        <f t="shared" ca="1" si="19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0"/>
        <v>13</v>
      </c>
      <c r="AW52" s="234">
        <f>COUNTIF( AV$7:AV52, AV52 )</f>
        <v>11</v>
      </c>
      <c r="AX52" s="287">
        <f t="shared" si="21"/>
        <v>14.1</v>
      </c>
      <c r="AY52" s="234">
        <f t="shared" si="22"/>
        <v>23</v>
      </c>
      <c r="AZ52" s="236"/>
      <c r="BA52" s="236"/>
      <c r="BC52" s="234">
        <f t="shared" ca="1" si="23"/>
        <v>46</v>
      </c>
      <c r="BD52" s="288">
        <f t="shared" ca="1" si="7"/>
        <v>21</v>
      </c>
      <c r="BF52" s="240" t="str">
        <f t="shared" ca="1" si="24"/>
        <v>FirstEnergy Corp.</v>
      </c>
      <c r="BG52" s="240" t="str">
        <f t="shared" ca="1" si="24"/>
        <v>BBB-</v>
      </c>
      <c r="BH52" s="240">
        <f t="shared" ca="1" si="24"/>
        <v>17</v>
      </c>
      <c r="BI52" s="240" t="str">
        <f t="shared" ca="1" si="24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8"/>
        <v/>
      </c>
      <c r="AJ53" s="236">
        <f t="shared" ca="1" si="4"/>
        <v>53</v>
      </c>
      <c r="AK53" s="236" t="str">
        <f t="shared" ca="1" si="19"/>
        <v>BBB-</v>
      </c>
      <c r="AL53" s="236">
        <f t="shared" ca="1" si="19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0"/>
        <v>1</v>
      </c>
      <c r="AW53" s="234">
        <f>COUNTIF( AV$7:AV53, AV53 )</f>
        <v>1</v>
      </c>
      <c r="AX53" s="287">
        <f t="shared" si="21"/>
        <v>1.1000000000000001</v>
      </c>
      <c r="AY53" s="234">
        <f t="shared" si="22"/>
        <v>1</v>
      </c>
      <c r="AZ53" s="236"/>
      <c r="BA53" s="236"/>
      <c r="BC53" s="234">
        <f t="shared" ca="1" si="23"/>
        <v>47</v>
      </c>
      <c r="BD53" s="288">
        <f t="shared" ca="1" si="7"/>
        <v>23</v>
      </c>
      <c r="BF53" s="240" t="str">
        <f t="shared" ca="1" si="24"/>
        <v>Hawaiian Electric Industries, Inc.</v>
      </c>
      <c r="BG53" s="240" t="str">
        <f t="shared" ca="1" si="24"/>
        <v>BBB-</v>
      </c>
      <c r="BH53" s="240">
        <f t="shared" ca="1" si="24"/>
        <v>17</v>
      </c>
      <c r="BI53" s="240" t="str">
        <f t="shared" ca="1" si="24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8"/>
        <v/>
      </c>
      <c r="AJ54" s="236">
        <f t="shared" ca="1" si="4"/>
        <v>54</v>
      </c>
      <c r="AK54" s="236" t="str">
        <f t="shared" ca="1" si="19"/>
        <v>BBB-</v>
      </c>
      <c r="AL54" s="236">
        <f t="shared" ca="1" si="19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0"/>
        <v>13</v>
      </c>
      <c r="AW54" s="234">
        <f>COUNTIF( AV$7:AV54, AV54 )</f>
        <v>12</v>
      </c>
      <c r="AX54" s="287">
        <f t="shared" si="21"/>
        <v>14.2</v>
      </c>
      <c r="AY54" s="234">
        <f t="shared" si="22"/>
        <v>24</v>
      </c>
      <c r="AZ54" s="236"/>
      <c r="BA54" s="236"/>
      <c r="BC54" s="234">
        <f t="shared" ca="1" si="23"/>
        <v>48</v>
      </c>
      <c r="BD54" s="288">
        <f t="shared" ca="1" si="7"/>
        <v>27</v>
      </c>
      <c r="BF54" s="240" t="str">
        <f t="shared" ca="1" si="24"/>
        <v>IPALCO Enterprises, Inc.</v>
      </c>
      <c r="BG54" s="240" t="str">
        <f t="shared" ca="1" si="24"/>
        <v>BBB-</v>
      </c>
      <c r="BH54" s="240">
        <f t="shared" ca="1" si="24"/>
        <v>17</v>
      </c>
      <c r="BI54" s="240" t="str">
        <f t="shared" ca="1" si="24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8"/>
        <v/>
      </c>
      <c r="AJ55" s="236">
        <f t="shared" ca="1" si="4"/>
        <v>55</v>
      </c>
      <c r="AK55" s="236" t="str">
        <f t="shared" ca="1" si="19"/>
        <v>BBB-</v>
      </c>
      <c r="AL55" s="236">
        <f t="shared" ca="1" si="19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0"/>
        <v>25</v>
      </c>
      <c r="AW55" s="234">
        <f>COUNTIF( AV$7:AV55, AV55 )</f>
        <v>19</v>
      </c>
      <c r="AX55" s="287">
        <f t="shared" si="21"/>
        <v>26.9</v>
      </c>
      <c r="AY55" s="234">
        <f t="shared" si="22"/>
        <v>43</v>
      </c>
      <c r="AZ55" s="236"/>
      <c r="BA55" s="236"/>
      <c r="BC55" s="234">
        <f t="shared" ca="1" si="23"/>
        <v>49</v>
      </c>
      <c r="BD55" s="288">
        <f t="shared" ca="1" si="7"/>
        <v>31</v>
      </c>
      <c r="BF55" s="240" t="str">
        <f t="shared" ca="1" si="24"/>
        <v>NiSource Inc.</v>
      </c>
      <c r="BG55" s="240" t="str">
        <f t="shared" ca="1" si="24"/>
        <v>BBB-</v>
      </c>
      <c r="BH55" s="240">
        <f t="shared" ca="1" si="24"/>
        <v>17</v>
      </c>
      <c r="BI55" s="240" t="str">
        <f t="shared" ca="1" si="24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8"/>
        <v/>
      </c>
      <c r="AJ56" s="236">
        <f t="shared" ca="1" si="4"/>
        <v>56</v>
      </c>
      <c r="AK56" s="236" t="str">
        <f t="shared" ca="1" si="19"/>
        <v>BBB-</v>
      </c>
      <c r="AL56" s="236">
        <f t="shared" ca="1" si="19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0"/>
        <v>2</v>
      </c>
      <c r="AW56" s="234">
        <f>COUNTIF( AV$7:AV56, AV56 )</f>
        <v>9</v>
      </c>
      <c r="AX56" s="287">
        <f t="shared" si="21"/>
        <v>2.9</v>
      </c>
      <c r="AY56" s="234">
        <f t="shared" si="22"/>
        <v>10</v>
      </c>
      <c r="AZ56" s="236"/>
      <c r="BA56" s="236"/>
      <c r="BC56" s="234">
        <f t="shared" ca="1" si="23"/>
        <v>50</v>
      </c>
      <c r="BD56" s="288">
        <f t="shared" ca="1" si="7"/>
        <v>34</v>
      </c>
      <c r="BF56" s="240" t="str">
        <f t="shared" ca="1" si="24"/>
        <v>NV Energy, Inc.</v>
      </c>
      <c r="BG56" s="240" t="str">
        <f t="shared" ca="1" si="24"/>
        <v>BBB-</v>
      </c>
      <c r="BH56" s="240">
        <f t="shared" ca="1" si="24"/>
        <v>17</v>
      </c>
      <c r="BI56" s="240" t="str">
        <f t="shared" ca="1" si="24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8"/>
        <v/>
      </c>
      <c r="AJ57" s="236">
        <f t="shared" ca="1" si="4"/>
        <v>57</v>
      </c>
      <c r="AK57" s="236" t="str">
        <f t="shared" ca="1" si="19"/>
        <v>BB+</v>
      </c>
      <c r="AL57" s="236">
        <f t="shared" ca="1" si="19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0"/>
        <v>25</v>
      </c>
      <c r="AW57" s="234">
        <f>COUNTIF( AV$7:AV57, AV57 )</f>
        <v>20</v>
      </c>
      <c r="AX57" s="287">
        <f t="shared" si="21"/>
        <v>27</v>
      </c>
      <c r="AY57" s="234">
        <f t="shared" si="22"/>
        <v>44</v>
      </c>
      <c r="AZ57" s="236"/>
      <c r="BA57" s="236"/>
      <c r="BC57" s="234">
        <f t="shared" ca="1" si="23"/>
        <v>51</v>
      </c>
      <c r="BD57" s="288">
        <f t="shared" ca="1" si="7"/>
        <v>44</v>
      </c>
      <c r="BF57" s="240" t="str">
        <f t="shared" ca="1" si="24"/>
        <v>Puget Energy, Inc.</v>
      </c>
      <c r="BG57" s="240" t="str">
        <f t="shared" ca="1" si="24"/>
        <v>BB+</v>
      </c>
      <c r="BH57" s="240">
        <f t="shared" ca="1" si="24"/>
        <v>16</v>
      </c>
      <c r="BI57" s="240" t="str">
        <f t="shared" ca="1" si="24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8"/>
        <v/>
      </c>
      <c r="AJ58" s="236">
        <f t="shared" ca="1" si="4"/>
        <v>58</v>
      </c>
      <c r="AK58" s="236" t="str">
        <f t="shared" ca="1" si="19"/>
        <v>BB</v>
      </c>
      <c r="AL58" s="236">
        <f t="shared" ca="1" si="19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0"/>
        <v>2</v>
      </c>
      <c r="AW58" s="234">
        <f>COUNTIF( AV$7:AV58, AV58 )</f>
        <v>10</v>
      </c>
      <c r="AX58" s="287">
        <f t="shared" si="21"/>
        <v>3</v>
      </c>
      <c r="AY58" s="234">
        <f t="shared" si="22"/>
        <v>11</v>
      </c>
      <c r="AZ58" s="236"/>
      <c r="BA58" s="236"/>
      <c r="BC58" s="234">
        <f t="shared" ca="1" si="23"/>
        <v>52</v>
      </c>
      <c r="BD58" s="288">
        <f t="shared" ca="1" si="7"/>
        <v>12</v>
      </c>
      <c r="BF58" s="240" t="str">
        <f t="shared" ca="1" si="24"/>
        <v>DPL Inc.</v>
      </c>
      <c r="BG58" s="240" t="str">
        <f t="shared" ca="1" si="24"/>
        <v>BB</v>
      </c>
      <c r="BH58" s="240">
        <f t="shared" ca="1" si="24"/>
        <v>15</v>
      </c>
      <c r="BI58" s="240" t="str">
        <f t="shared" ca="1" si="24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8"/>
        <v/>
      </c>
      <c r="AJ59" s="236">
        <f t="shared" ca="1" si="4"/>
        <v>59</v>
      </c>
      <c r="AK59" s="236" t="str">
        <f t="shared" ca="1" si="19"/>
        <v>CCC</v>
      </c>
      <c r="AL59" s="236">
        <f t="shared" ca="1" si="19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0"/>
        <v>2</v>
      </c>
      <c r="AW59" s="234">
        <f>COUNTIF( AV$7:AV59, AV59 )</f>
        <v>11</v>
      </c>
      <c r="AX59" s="287">
        <f t="shared" si="21"/>
        <v>3.1</v>
      </c>
      <c r="AY59" s="234">
        <f t="shared" si="22"/>
        <v>12</v>
      </c>
      <c r="AZ59" s="236"/>
      <c r="BA59" s="236"/>
      <c r="BC59" s="234">
        <f t="shared" ca="1" si="23"/>
        <v>53</v>
      </c>
      <c r="BD59" s="288">
        <f t="shared" ca="1" si="7"/>
        <v>18</v>
      </c>
      <c r="BF59" s="240" t="str">
        <f t="shared" ca="1" si="24"/>
        <v>Energy Future Holdings Corp.</v>
      </c>
      <c r="BG59" s="240" t="str">
        <f t="shared" ca="1" si="24"/>
        <v>CCC</v>
      </c>
      <c r="BH59" s="240">
        <f t="shared" ca="1" si="24"/>
        <v>9</v>
      </c>
      <c r="BI59" s="240" t="str">
        <f t="shared" ca="1" si="24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4"/>
        <v>#N/A</v>
      </c>
      <c r="AK60" s="236" t="str">
        <f t="shared" ca="1" si="19"/>
        <v/>
      </c>
      <c r="AL60" s="236" t="str">
        <f t="shared" ca="1" si="19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0"/>
        <v>99</v>
      </c>
      <c r="AW60" s="234">
        <f>COUNTIF( AV$7:AV60, AV60 )</f>
        <v>1</v>
      </c>
      <c r="AX60" s="287">
        <f t="shared" si="21"/>
        <v>99.1</v>
      </c>
      <c r="AY60" s="234">
        <f t="shared" si="22"/>
        <v>54</v>
      </c>
      <c r="AZ60" s="236"/>
      <c r="BA60" s="236"/>
      <c r="BC60" s="234">
        <f t="shared" ca="1" si="23"/>
        <v>54</v>
      </c>
      <c r="BD60" s="288">
        <f t="shared" ca="1" si="7"/>
        <v>54</v>
      </c>
      <c r="BF60" s="240">
        <f t="shared" ca="1" si="24"/>
        <v>0</v>
      </c>
      <c r="BG60" s="240">
        <f t="shared" ca="1" si="24"/>
        <v>0</v>
      </c>
      <c r="BH60" s="240">
        <f t="shared" ca="1" si="24"/>
        <v>0</v>
      </c>
      <c r="BI60" s="240">
        <f t="shared" ca="1" si="24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8"/>
        <v/>
      </c>
      <c r="AJ61" s="236" t="e">
        <f t="shared" ca="1" si="4"/>
        <v>#N/A</v>
      </c>
      <c r="AK61" s="236" t="str">
        <f t="shared" ca="1" si="19"/>
        <v/>
      </c>
      <c r="AL61" s="236" t="str">
        <f t="shared" ca="1" si="19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0"/>
        <v>99</v>
      </c>
      <c r="AW61" s="234">
        <f>COUNTIF( AV$7:AV61, AV61 )</f>
        <v>2</v>
      </c>
      <c r="AX61" s="287">
        <f t="shared" si="21"/>
        <v>99.2</v>
      </c>
      <c r="AY61" s="234">
        <f t="shared" si="22"/>
        <v>55</v>
      </c>
      <c r="AZ61" s="236"/>
      <c r="BA61" s="236"/>
      <c r="BC61" s="234">
        <f t="shared" ca="1" si="23"/>
        <v>55</v>
      </c>
      <c r="BD61" s="288">
        <f t="shared" ca="1" si="7"/>
        <v>55</v>
      </c>
      <c r="BF61" s="240">
        <f t="shared" ca="1" si="24"/>
        <v>0</v>
      </c>
      <c r="BG61" s="240">
        <f t="shared" ca="1" si="24"/>
        <v>0</v>
      </c>
      <c r="BH61" s="240">
        <f t="shared" ca="1" si="24"/>
        <v>0</v>
      </c>
      <c r="BI61" s="240">
        <f t="shared" ca="1" si="24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8"/>
        <v/>
      </c>
      <c r="AJ62" s="236">
        <f t="shared" ca="1" si="4"/>
        <v>62</v>
      </c>
      <c r="AK62" s="236" t="str">
        <f t="shared" ca="1" si="19"/>
        <v>AA-</v>
      </c>
      <c r="AL62" s="236">
        <f t="shared" ca="1" si="19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0"/>
        <v>99</v>
      </c>
      <c r="AW62" s="234">
        <f>COUNTIF( AV$7:AV62, AV62 )</f>
        <v>3</v>
      </c>
      <c r="AX62" s="287">
        <f t="shared" si="21"/>
        <v>99.3</v>
      </c>
      <c r="AY62" s="234">
        <f t="shared" si="22"/>
        <v>56</v>
      </c>
      <c r="AZ62" s="236"/>
      <c r="BA62" s="236"/>
      <c r="BC62" s="234">
        <f t="shared" ca="1" si="23"/>
        <v>56</v>
      </c>
      <c r="BD62" s="288">
        <f t="shared" ca="1" si="7"/>
        <v>56</v>
      </c>
      <c r="BF62" s="240">
        <f t="shared" ca="1" si="24"/>
        <v>0</v>
      </c>
      <c r="BG62" s="240">
        <f t="shared" ca="1" si="24"/>
        <v>0</v>
      </c>
      <c r="BH62" s="240">
        <f t="shared" ca="1" si="24"/>
        <v>0</v>
      </c>
      <c r="BI62" s="240">
        <f t="shared" ca="1" si="24"/>
        <v>0</v>
      </c>
    </row>
    <row r="63" spans="1:61" ht="13.8" x14ac:dyDescent="0.25">
      <c r="A63" s="303" t="s">
        <v>475</v>
      </c>
      <c r="B63" s="304" t="s">
        <v>28</v>
      </c>
      <c r="C63" s="304">
        <v>18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>
        <f t="shared" ca="1" si="3"/>
        <v>1</v>
      </c>
      <c r="AH63" s="236" t="str">
        <f t="shared" ca="1" si="18"/>
        <v/>
      </c>
      <c r="AJ63" s="236">
        <f t="shared" ca="1" si="4"/>
        <v>63</v>
      </c>
      <c r="AK63" s="236" t="str">
        <f t="shared" ca="1" si="19"/>
        <v>BB+</v>
      </c>
      <c r="AL63" s="236">
        <f t="shared" ca="1" si="19"/>
        <v>16</v>
      </c>
      <c r="AM63" s="236" t="str">
        <f t="shared" ca="1" si="5"/>
        <v>Change</v>
      </c>
      <c r="AQ63" s="286"/>
      <c r="AR63" s="286"/>
      <c r="AS63" s="286"/>
      <c r="AT63" s="286"/>
      <c r="AU63" s="286"/>
      <c r="AV63" s="234">
        <f t="shared" si="20"/>
        <v>99</v>
      </c>
      <c r="AW63" s="234">
        <f>COUNTIF( AV$7:AV63, AV63 )</f>
        <v>4</v>
      </c>
      <c r="AX63" s="287">
        <f t="shared" si="21"/>
        <v>99.4</v>
      </c>
      <c r="AY63" s="234">
        <f t="shared" si="22"/>
        <v>57</v>
      </c>
      <c r="AZ63" s="236"/>
      <c r="BA63" s="236"/>
      <c r="BC63" s="234">
        <f t="shared" ca="1" si="23"/>
        <v>57</v>
      </c>
      <c r="BD63" s="288">
        <f ca="1">MATCH( BC63, $AY$7:$AY$63, 0 )</f>
        <v>57</v>
      </c>
      <c r="BF63" s="240">
        <f t="shared" ca="1" si="24"/>
        <v>0</v>
      </c>
      <c r="BG63" s="240">
        <f t="shared" ca="1" si="24"/>
        <v>0</v>
      </c>
      <c r="BH63" s="240">
        <f t="shared" ca="1" si="24"/>
        <v>0</v>
      </c>
      <c r="BI63" s="240">
        <f t="shared" ca="1" si="24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>
        <f t="shared" ca="1" si="4"/>
        <v>64</v>
      </c>
      <c r="AK64" s="236">
        <f t="shared" ca="1" si="19"/>
        <v>0</v>
      </c>
      <c r="AL64" s="236">
        <f t="shared" ca="1" si="19"/>
        <v>0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4"/>
        <v>#N/A</v>
      </c>
      <c r="AK65" s="236" t="str">
        <f t="shared" ca="1" si="19"/>
        <v/>
      </c>
      <c r="AL65" s="236" t="str">
        <f t="shared" ca="1" si="19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5">IF( LEN( $C66 ) = 0, "", IF( $C66 &gt; $AL66, 1, "" ) )</f>
        <v/>
      </c>
      <c r="AH66" s="236" t="str">
        <f t="shared" si="18"/>
        <v/>
      </c>
      <c r="AJ66" s="236" t="e">
        <f t="shared" ca="1" si="4"/>
        <v>#N/A</v>
      </c>
      <c r="AK66" s="236" t="str">
        <f t="shared" ca="1" si="19"/>
        <v/>
      </c>
      <c r="AL66" s="236" t="str">
        <f t="shared" ca="1" si="19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5"/>
        <v/>
      </c>
      <c r="AH67" s="236" t="str">
        <f t="shared" si="18"/>
        <v/>
      </c>
      <c r="AJ67" s="236" t="e">
        <f t="shared" ca="1" si="4"/>
        <v>#N/A</v>
      </c>
      <c r="AK67" s="236" t="str">
        <f t="shared" ca="1" si="19"/>
        <v/>
      </c>
      <c r="AL67" s="236" t="str">
        <f t="shared" ca="1" si="19"/>
        <v/>
      </c>
      <c r="AM67" s="236" t="str">
        <f t="shared" ca="1" si="5"/>
        <v/>
      </c>
      <c r="AQ67" s="286" t="s">
        <v>427</v>
      </c>
      <c r="AR67" s="286" t="s">
        <v>28</v>
      </c>
      <c r="AS67" s="286">
        <v>18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18.399999999999999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18.509090909090908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2060"/>
    <pageSetUpPr fitToPage="1"/>
  </sheetPr>
  <dimension ref="A1:BJ79"/>
  <sheetViews>
    <sheetView showGridLines="0" zoomScale="70" zoomScaleNormal="7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customWidth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Reg_Percent_2012</v>
      </c>
      <c r="G2" s="239" t="s">
        <v>477</v>
      </c>
      <c r="AJ2" s="240" t="str">
        <f>AJ4 &amp; AJ3</f>
        <v>'Credit_2013Q1'!a:a</v>
      </c>
      <c r="AK2" s="240" t="str">
        <f>AK4 &amp; AK3</f>
        <v>'Credit_2013Q1'!b1</v>
      </c>
      <c r="AL2" s="240" t="str">
        <f>AL4 &amp; AL3</f>
        <v>'Credit_2013Q1'!c1</v>
      </c>
    </row>
    <row r="3" spans="1:61" ht="18" hidden="1" outlineLevel="1" x14ac:dyDescent="0.25">
      <c r="A3" s="233"/>
      <c r="E3" s="241" t="str">
        <f>"'" &amp; E2 &amp; "'!"</f>
        <v>'Reg_Percent_2012'!</v>
      </c>
      <c r="G3" s="234" t="str">
        <f>"'" &amp; G2 &amp; "'!"</f>
        <v>'Reg_Percent_2012'!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472</v>
      </c>
      <c r="AK4" s="236" t="str">
        <f>AJ4</f>
        <v>'Credit_2013Q1'!</v>
      </c>
      <c r="AL4" s="236" t="str">
        <f>AK4</f>
        <v>'Credit_2013Q1'!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(55)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429</v>
      </c>
      <c r="C6" s="338" t="s">
        <v>470</v>
      </c>
      <c r="D6" s="301"/>
      <c r="E6" s="302">
        <v>41274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4" ca="1" si="1">IF( LEN( $D7 ) = 0, "", MATCH( $D7, INDIRECT( G$3 &amp; G$4 ), 0 ) )</f>
        <v>48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13</v>
      </c>
      <c r="AW7" s="234">
        <f>COUNTIF( AV7:AV$7, AV7 )</f>
        <v>1</v>
      </c>
      <c r="AX7" s="287">
        <f>AV7 + AW7 / 10</f>
        <v>13.1</v>
      </c>
      <c r="AY7" s="234">
        <f>RANK( AX7, $AX$7:$AX$63, 1 )</f>
        <v>13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2</v>
      </c>
      <c r="M8" s="294">
        <f t="shared" ref="M8:M13" si="11">IF( L8 = 0, "", L8/L$14 )</f>
        <v>3.6363636363636362E-2</v>
      </c>
      <c r="N8" s="317"/>
      <c r="O8" s="293">
        <f t="shared" ref="O8:O13" ca="1" si="12">COUNTIFS( $E$7:$E$66, O$3, $C$7:$C$66, $X8 )</f>
        <v>1</v>
      </c>
      <c r="P8" s="294">
        <f t="shared" ref="P8:P13" ca="1" si="13">IF( O8 = 0, "", O8/O$14 )</f>
        <v>2.7777777777777776E-2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LNT</v>
      </c>
    </row>
    <row r="9" spans="1:61" ht="13.8" x14ac:dyDescent="0.25">
      <c r="A9" s="303" t="s">
        <v>29</v>
      </c>
      <c r="B9" s="304" t="s">
        <v>10</v>
      </c>
      <c r="C9" s="304">
        <v>20</v>
      </c>
      <c r="D9" s="304" t="s">
        <v>285</v>
      </c>
      <c r="E9" s="305" t="str">
        <f t="shared" ca="1" si="0"/>
        <v>MR</v>
      </c>
      <c r="F9" s="306"/>
      <c r="G9" s="307">
        <f t="shared" ca="1" si="1"/>
        <v>13</v>
      </c>
      <c r="H9" s="250"/>
      <c r="I9" s="318"/>
      <c r="J9" s="295" t="s">
        <v>10</v>
      </c>
      <c r="K9" s="318"/>
      <c r="L9" s="295">
        <f t="shared" si="10"/>
        <v>11</v>
      </c>
      <c r="M9" s="296">
        <f t="shared" si="11"/>
        <v>0.2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5</v>
      </c>
      <c r="S9" s="296">
        <f t="shared" ca="1" si="15"/>
        <v>0.29411764705882354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11</v>
      </c>
      <c r="AC9" s="253"/>
      <c r="AE9" s="254"/>
      <c r="AF9" s="236">
        <f t="shared" si="2"/>
        <v>0</v>
      </c>
      <c r="AG9" s="236">
        <f t="shared" ca="1" si="3"/>
        <v>1</v>
      </c>
      <c r="AH9" s="236" t="str">
        <f t="shared" ca="1" si="19"/>
        <v/>
      </c>
      <c r="AJ9" s="236">
        <f t="shared" ca="1" si="4"/>
        <v>18</v>
      </c>
      <c r="AK9" s="236" t="str">
        <f t="shared" ca="1" si="20"/>
        <v>BBB+</v>
      </c>
      <c r="AL9" s="236">
        <f t="shared" ca="1" si="20"/>
        <v>19</v>
      </c>
      <c r="AM9" s="236" t="str">
        <f t="shared" ca="1" si="5"/>
        <v>Change</v>
      </c>
      <c r="AQ9" s="286" t="s">
        <v>9</v>
      </c>
      <c r="AR9" s="286" t="s">
        <v>28</v>
      </c>
      <c r="AS9" s="286">
        <v>18</v>
      </c>
      <c r="AT9" s="286" t="s">
        <v>273</v>
      </c>
      <c r="AV9" s="234">
        <f t="shared" si="21"/>
        <v>24</v>
      </c>
      <c r="AW9" s="234">
        <f>COUNTIF( AV$7:AV9, AV9 )</f>
        <v>1</v>
      </c>
      <c r="AX9" s="287">
        <f t="shared" si="22"/>
        <v>24.1</v>
      </c>
      <c r="AY9" s="234">
        <f t="shared" si="23"/>
        <v>24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7</v>
      </c>
      <c r="BF9" s="240" t="str">
        <f t="shared" ca="1" si="8"/>
        <v>CenterPoint Energy,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CNP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0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10"/>
        <v>11</v>
      </c>
      <c r="M10" s="296">
        <f t="shared" si="11"/>
        <v>0.2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5</v>
      </c>
      <c r="S10" s="296">
        <f t="shared" ca="1" si="15"/>
        <v>0.29411764705882354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11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2</v>
      </c>
      <c r="AX10" s="287">
        <f t="shared" si="22"/>
        <v>24.2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10</v>
      </c>
      <c r="BF10" s="240" t="str">
        <f t="shared" ca="1" si="8"/>
        <v>Consolidated Edison,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ED</v>
      </c>
    </row>
    <row r="11" spans="1:61" ht="13.8" x14ac:dyDescent="0.25">
      <c r="A11" s="303" t="s">
        <v>18</v>
      </c>
      <c r="B11" s="304" t="s">
        <v>10</v>
      </c>
      <c r="C11" s="304">
        <v>20</v>
      </c>
      <c r="D11" s="304" t="s">
        <v>86</v>
      </c>
      <c r="E11" s="305" t="str">
        <f t="shared" ca="1" si="0"/>
        <v>MR</v>
      </c>
      <c r="F11" s="306"/>
      <c r="G11" s="307">
        <f t="shared" ca="1" si="1"/>
        <v>17</v>
      </c>
      <c r="H11" s="250"/>
      <c r="I11" s="318"/>
      <c r="J11" s="295" t="s">
        <v>28</v>
      </c>
      <c r="K11" s="318"/>
      <c r="L11" s="295">
        <f t="shared" si="10"/>
        <v>20</v>
      </c>
      <c r="M11" s="296">
        <f t="shared" si="11"/>
        <v>0.36363636363636365</v>
      </c>
      <c r="N11" s="318"/>
      <c r="O11" s="295">
        <f t="shared" ca="1" si="12"/>
        <v>17</v>
      </c>
      <c r="P11" s="296">
        <f t="shared" ca="1" si="13"/>
        <v>0.47222222222222221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20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3</v>
      </c>
      <c r="AX11" s="287">
        <f t="shared" si="22"/>
        <v>24.3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11</v>
      </c>
      <c r="BF11" s="240" t="str">
        <f t="shared" ca="1" si="8"/>
        <v>Dominion Resources,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</v>
      </c>
    </row>
    <row r="12" spans="1:61" ht="13.8" x14ac:dyDescent="0.25">
      <c r="A12" s="303" t="s">
        <v>253</v>
      </c>
      <c r="B12" s="304" t="s">
        <v>10</v>
      </c>
      <c r="C12" s="304">
        <v>20</v>
      </c>
      <c r="D12" s="304" t="s">
        <v>330</v>
      </c>
      <c r="E12" s="305" t="str">
        <f t="shared" ca="1" si="0"/>
        <v>R</v>
      </c>
      <c r="F12" s="306"/>
      <c r="G12" s="307">
        <f t="shared" ca="1" si="1"/>
        <v>29</v>
      </c>
      <c r="H12" s="250"/>
      <c r="I12" s="318"/>
      <c r="J12" s="295" t="s">
        <v>49</v>
      </c>
      <c r="K12" s="318"/>
      <c r="L12" s="295">
        <f t="shared" si="10"/>
        <v>7</v>
      </c>
      <c r="M12" s="296">
        <f t="shared" si="11"/>
        <v>0.12727272727272726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3</v>
      </c>
      <c r="S12" s="296">
        <f t="shared" ca="1" si="15"/>
        <v>0.17647058823529413</v>
      </c>
      <c r="T12" s="318"/>
      <c r="U12" s="295">
        <f t="shared" ca="1" si="16"/>
        <v>0</v>
      </c>
      <c r="V12" s="296" t="str">
        <f t="shared" ca="1" si="17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7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44</v>
      </c>
      <c r="AW12" s="234">
        <f>COUNTIF( AV$7:AV12, AV12 )</f>
        <v>1</v>
      </c>
      <c r="AX12" s="287">
        <f t="shared" si="22"/>
        <v>44.1</v>
      </c>
      <c r="AY12" s="234">
        <f t="shared" si="23"/>
        <v>44</v>
      </c>
      <c r="AZ12" s="236"/>
      <c r="BA12" s="236"/>
      <c r="BC12" s="234">
        <f t="shared" ca="1" si="24"/>
        <v>6</v>
      </c>
      <c r="BD12" s="288">
        <f t="shared" ca="1" si="7"/>
        <v>26</v>
      </c>
      <c r="BF12" s="240" t="str">
        <f t="shared" ca="1" si="8"/>
        <v>Integrys Energy Group,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TEG</v>
      </c>
    </row>
    <row r="13" spans="1:61" ht="13.8" x14ac:dyDescent="0.25">
      <c r="A13" s="303" t="s">
        <v>369</v>
      </c>
      <c r="B13" s="304" t="s">
        <v>10</v>
      </c>
      <c r="C13" s="304">
        <v>20</v>
      </c>
      <c r="D13" s="304" t="s">
        <v>368</v>
      </c>
      <c r="E13" s="305" t="str">
        <f t="shared" ca="1" si="0"/>
        <v>MR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7.2727272727272724E-2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0.5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10</v>
      </c>
      <c r="AS13" s="286">
        <v>20</v>
      </c>
      <c r="AT13" s="286" t="s">
        <v>285</v>
      </c>
      <c r="AV13" s="234">
        <f t="shared" si="21"/>
        <v>2</v>
      </c>
      <c r="AW13" s="234">
        <f>COUNTIF( AV$7:AV13, AV13 )</f>
        <v>2</v>
      </c>
      <c r="AX13" s="287">
        <f t="shared" si="22"/>
        <v>2.2000000000000002</v>
      </c>
      <c r="AY13" s="234">
        <f t="shared" si="23"/>
        <v>3</v>
      </c>
      <c r="AZ13" s="236"/>
      <c r="BA13" s="236"/>
      <c r="BC13" s="234">
        <f t="shared" ca="1" si="24"/>
        <v>7</v>
      </c>
      <c r="BD13" s="288">
        <f t="shared" ca="1" si="7"/>
        <v>30</v>
      </c>
      <c r="BF13" s="240" t="str">
        <f t="shared" ca="1" si="8"/>
        <v>NextEra Energy,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NEE</v>
      </c>
    </row>
    <row r="14" spans="1:61" ht="13.8" x14ac:dyDescent="0.25">
      <c r="A14" s="303" t="s">
        <v>512</v>
      </c>
      <c r="B14" s="304" t="s">
        <v>10</v>
      </c>
      <c r="C14" s="304">
        <v>20</v>
      </c>
      <c r="D14" s="304" t="s">
        <v>511</v>
      </c>
      <c r="E14" s="305" t="str">
        <f t="shared" ca="1" si="0"/>
        <v>R</v>
      </c>
      <c r="F14" s="306"/>
      <c r="G14" s="307">
        <f t="shared" ca="1" si="1"/>
        <v>34</v>
      </c>
      <c r="H14" s="250"/>
      <c r="I14" s="320"/>
      <c r="J14" s="291" t="s">
        <v>80</v>
      </c>
      <c r="K14" s="320"/>
      <c r="L14" s="291">
        <f>SUM(L8:L13)</f>
        <v>55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18.436363636363637</v>
      </c>
      <c r="Z14" s="261"/>
      <c r="AA14" s="260">
        <f ca="1">SUM(AA8:AA13)</f>
        <v>55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4</v>
      </c>
      <c r="AX14" s="287">
        <f t="shared" si="22"/>
        <v>24.4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32</v>
      </c>
      <c r="BF14" s="240" t="str">
        <f t="shared" ca="1" si="8"/>
        <v>Eversource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ES</v>
      </c>
    </row>
    <row r="15" spans="1:61" ht="13.8" x14ac:dyDescent="0.25">
      <c r="A15" s="303" t="s">
        <v>21</v>
      </c>
      <c r="B15" s="304" t="s">
        <v>10</v>
      </c>
      <c r="C15" s="304">
        <v>20</v>
      </c>
      <c r="D15" s="304" t="s">
        <v>315</v>
      </c>
      <c r="E15" s="305" t="str">
        <f t="shared" ca="1" si="0"/>
        <v>MR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>
        <f t="shared" ca="1" si="3"/>
        <v>1</v>
      </c>
      <c r="AH15" s="236" t="str">
        <f t="shared" ca="1" si="19"/>
        <v/>
      </c>
      <c r="AJ15" s="236">
        <f t="shared" ca="1" si="4"/>
        <v>23</v>
      </c>
      <c r="AK15" s="236" t="str">
        <f t="shared" ca="1" si="20"/>
        <v>BBB+</v>
      </c>
      <c r="AL15" s="236">
        <f t="shared" ca="1" si="20"/>
        <v>19</v>
      </c>
      <c r="AM15" s="236" t="str">
        <f t="shared" ca="1" si="5"/>
        <v>Change</v>
      </c>
      <c r="AQ15" s="286" t="s">
        <v>60</v>
      </c>
      <c r="AR15" s="286" t="s">
        <v>28</v>
      </c>
      <c r="AS15" s="286">
        <v>18</v>
      </c>
      <c r="AT15" s="286" t="s">
        <v>283</v>
      </c>
      <c r="AV15" s="234">
        <f t="shared" si="21"/>
        <v>24</v>
      </c>
      <c r="AW15" s="234">
        <f>COUNTIF( AV$7:AV15, AV15 )</f>
        <v>5</v>
      </c>
      <c r="AX15" s="287">
        <f t="shared" si="22"/>
        <v>24.5</v>
      </c>
      <c r="AY15" s="234">
        <f t="shared" si="23"/>
        <v>28</v>
      </c>
      <c r="AZ15" s="236"/>
      <c r="BA15" s="236"/>
      <c r="BC15" s="234">
        <f t="shared" ca="1" si="24"/>
        <v>9</v>
      </c>
      <c r="BD15" s="288">
        <f t="shared" ca="1" si="7"/>
        <v>35</v>
      </c>
      <c r="BF15" s="240" t="str">
        <f t="shared" ca="1" si="8"/>
        <v>OGE Energy Corp.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OGE</v>
      </c>
    </row>
    <row r="16" spans="1:61" ht="13.8" x14ac:dyDescent="0.25">
      <c r="A16" s="303" t="s">
        <v>14</v>
      </c>
      <c r="B16" s="304" t="s">
        <v>10</v>
      </c>
      <c r="C16" s="304">
        <v>20</v>
      </c>
      <c r="D16" s="304" t="s">
        <v>334</v>
      </c>
      <c r="E16" s="305" t="str">
        <f t="shared" ca="1" si="0"/>
        <v>MR</v>
      </c>
      <c r="F16" s="306"/>
      <c r="G16" s="307">
        <f t="shared" ca="1" si="1"/>
        <v>53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18.327272727272728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18.25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14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14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3</v>
      </c>
      <c r="AX16" s="287">
        <f t="shared" si="22"/>
        <v>2.2999999999999998</v>
      </c>
      <c r="AY16" s="234">
        <f t="shared" si="23"/>
        <v>4</v>
      </c>
      <c r="AZ16" s="236"/>
      <c r="BA16" s="236"/>
      <c r="BC16" s="234">
        <f t="shared" ca="1" si="24"/>
        <v>10</v>
      </c>
      <c r="BD16" s="288">
        <f t="shared" ca="1" si="7"/>
        <v>50</v>
      </c>
      <c r="BF16" s="240" t="str">
        <f t="shared" ca="1" si="8"/>
        <v>Vectren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VVC</v>
      </c>
    </row>
    <row r="17" spans="1:61" ht="13.8" x14ac:dyDescent="0.25">
      <c r="A17" s="303" t="s">
        <v>26</v>
      </c>
      <c r="B17" s="304" t="s">
        <v>10</v>
      </c>
      <c r="C17" s="304">
        <v>20</v>
      </c>
      <c r="D17" s="304" t="s">
        <v>335</v>
      </c>
      <c r="E17" s="305" t="str">
        <f t="shared" ca="1" si="0"/>
        <v>R</v>
      </c>
      <c r="F17" s="306"/>
      <c r="G17" s="307">
        <f t="shared" ca="1" si="1"/>
        <v>55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15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9" t="s">
        <v>86</v>
      </c>
      <c r="AV17" s="234">
        <f t="shared" si="21"/>
        <v>2</v>
      </c>
      <c r="AW17" s="234">
        <f>COUNTIF( AV$7:AV17, AV17 )</f>
        <v>4</v>
      </c>
      <c r="AX17" s="287">
        <f t="shared" si="22"/>
        <v>2.4</v>
      </c>
      <c r="AY17" s="234">
        <f t="shared" si="23"/>
        <v>5</v>
      </c>
      <c r="AZ17" s="236"/>
      <c r="BA17" s="236"/>
      <c r="BC17" s="234">
        <f t="shared" ca="1" si="24"/>
        <v>11</v>
      </c>
      <c r="BD17" s="288">
        <f t="shared" ca="1" si="7"/>
        <v>52</v>
      </c>
      <c r="BF17" s="240" t="str">
        <f t="shared" ca="1" si="8"/>
        <v>Wisconsin Energy Corporation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WEC</v>
      </c>
    </row>
    <row r="18" spans="1:61" ht="13.8" x14ac:dyDescent="0.25">
      <c r="A18" s="303" t="s">
        <v>257</v>
      </c>
      <c r="B18" s="304" t="s">
        <v>10</v>
      </c>
      <c r="C18" s="304">
        <v>20</v>
      </c>
      <c r="D18" s="304" t="s">
        <v>337</v>
      </c>
      <c r="E18" s="305" t="str">
        <f t="shared" ca="1" si="0"/>
        <v>R</v>
      </c>
      <c r="F18" s="306"/>
      <c r="G18" s="307">
        <f t="shared" ca="1" si="1"/>
        <v>56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16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53</v>
      </c>
      <c r="BF18" s="240" t="str">
        <f t="shared" ca="1" si="8"/>
        <v>Xcel Energy Inc.</v>
      </c>
      <c r="BG18" s="240" t="str">
        <f t="shared" ca="1" si="9"/>
        <v>A-</v>
      </c>
      <c r="BH18" s="240">
        <f t="shared" ca="1" si="9"/>
        <v>20</v>
      </c>
      <c r="BI18" s="240" t="str">
        <f t="shared" ca="1" si="9"/>
        <v>XEL</v>
      </c>
    </row>
    <row r="19" spans="1:61" ht="13.8" x14ac:dyDescent="0.25">
      <c r="A19" s="303" t="s">
        <v>15</v>
      </c>
      <c r="B19" s="304" t="s">
        <v>16</v>
      </c>
      <c r="C19" s="304">
        <v>19</v>
      </c>
      <c r="D19" s="304" t="s">
        <v>276</v>
      </c>
      <c r="E19" s="305" t="str">
        <f t="shared" ca="1" si="0"/>
        <v>R</v>
      </c>
      <c r="F19" s="306"/>
      <c r="G19" s="307">
        <f t="shared" ca="1" si="1"/>
        <v>7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17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13</v>
      </c>
      <c r="AW19" s="234">
        <f>COUNTIF( AV$7:AV19, AV19 )</f>
        <v>2</v>
      </c>
      <c r="AX19" s="287">
        <f t="shared" si="22"/>
        <v>13.2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1</v>
      </c>
      <c r="BF19" s="240" t="str">
        <f t="shared" ca="1" si="8"/>
        <v>ALLETE,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ALE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18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13</v>
      </c>
      <c r="AW20" s="234">
        <f>COUNTIF( AV$7:AV20, AV20 )</f>
        <v>3</v>
      </c>
      <c r="AX20" s="287">
        <f t="shared" si="22"/>
        <v>13.3</v>
      </c>
      <c r="AY20" s="234">
        <f t="shared" si="23"/>
        <v>15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32</v>
      </c>
      <c r="B21" s="304" t="s">
        <v>16</v>
      </c>
      <c r="C21" s="304">
        <v>19</v>
      </c>
      <c r="D21" s="304" t="s">
        <v>289</v>
      </c>
      <c r="E21" s="305" t="str">
        <f t="shared" ca="1" si="0"/>
        <v>R</v>
      </c>
      <c r="F21" s="306"/>
      <c r="G21" s="307">
        <f t="shared" ca="1" si="1"/>
        <v>19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44</v>
      </c>
      <c r="AW21" s="234">
        <f>COUNTIF( AV$7:AV21, AV21 )</f>
        <v>2</v>
      </c>
      <c r="AX21" s="287">
        <f t="shared" si="22"/>
        <v>44.2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14</v>
      </c>
      <c r="BF21" s="240" t="str">
        <f t="shared" ca="1" si="8"/>
        <v>Duke Energy Corporation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DUK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30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21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6</v>
      </c>
      <c r="AX22" s="287">
        <f t="shared" si="22"/>
        <v>24.6</v>
      </c>
      <c r="AY22" s="234">
        <f t="shared" si="23"/>
        <v>29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62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22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18</v>
      </c>
      <c r="AT23" s="286" t="s">
        <v>292</v>
      </c>
      <c r="AV23" s="234">
        <f t="shared" si="21"/>
        <v>24</v>
      </c>
      <c r="AW23" s="234">
        <f>COUNTIF( AV$7:AV23, AV23 )</f>
        <v>7</v>
      </c>
      <c r="AX23" s="287">
        <f t="shared" si="22"/>
        <v>24.7</v>
      </c>
      <c r="AY23" s="234">
        <f t="shared" si="23"/>
        <v>30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39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8</v>
      </c>
      <c r="AX25" s="287">
        <f t="shared" si="22"/>
        <v>24.8</v>
      </c>
      <c r="AY25" s="234">
        <f t="shared" si="23"/>
        <v>31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45</v>
      </c>
      <c r="B26" s="304" t="s">
        <v>16</v>
      </c>
      <c r="C26" s="304">
        <v>19</v>
      </c>
      <c r="D26" s="304" t="s">
        <v>318</v>
      </c>
      <c r="E26" s="305" t="str">
        <f t="shared" ca="1" si="0"/>
        <v>MR</v>
      </c>
      <c r="F26" s="306"/>
      <c r="G26" s="307">
        <f t="shared" ca="1" si="1"/>
        <v>45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>
        <f t="shared" ca="1" si="3"/>
        <v>1</v>
      </c>
      <c r="AH26" s="236" t="str">
        <f t="shared" ca="1" si="19"/>
        <v/>
      </c>
      <c r="AJ26" s="236">
        <f t="shared" ca="1" si="4"/>
        <v>45</v>
      </c>
      <c r="AK26" s="236" t="str">
        <f t="shared" ca="1" si="20"/>
        <v>BBB</v>
      </c>
      <c r="AL26" s="236">
        <f t="shared" ca="1" si="20"/>
        <v>18</v>
      </c>
      <c r="AM26" s="236" t="str">
        <f t="shared" ca="1" si="5"/>
        <v>Change</v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9</v>
      </c>
      <c r="AX26" s="287">
        <f t="shared" si="22"/>
        <v>24.9</v>
      </c>
      <c r="AY26" s="234">
        <f t="shared" si="23"/>
        <v>32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Public Service Enterprise Group Incorporated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PEG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46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26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44</v>
      </c>
      <c r="AW27" s="234">
        <f>COUNTIF( AV$7:AV27, AV27 )</f>
        <v>3</v>
      </c>
      <c r="AX27" s="287">
        <f t="shared" si="22"/>
        <v>44.3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45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47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27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10</v>
      </c>
      <c r="AX28" s="287">
        <f t="shared" si="22"/>
        <v>25</v>
      </c>
      <c r="AY28" s="234">
        <f t="shared" si="23"/>
        <v>33</v>
      </c>
      <c r="AZ28" s="236"/>
      <c r="BA28" s="236"/>
      <c r="BC28" s="234">
        <f t="shared" ca="1" si="24"/>
        <v>22</v>
      </c>
      <c r="BD28" s="288">
        <f t="shared" ca="1" si="7"/>
        <v>46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49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28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9" t="s">
        <v>301</v>
      </c>
      <c r="AV29" s="234">
        <f t="shared" si="21"/>
        <v>44</v>
      </c>
      <c r="AW29" s="234">
        <f>COUNTIF( AV$7:AV29, AV29 )</f>
        <v>4</v>
      </c>
      <c r="AX29" s="287">
        <f t="shared" si="22"/>
        <v>44.4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9</v>
      </c>
      <c r="B30" s="304" t="s">
        <v>28</v>
      </c>
      <c r="C30" s="304">
        <v>18</v>
      </c>
      <c r="D30" s="304" t="s">
        <v>273</v>
      </c>
      <c r="E30" s="305" t="str">
        <f t="shared" ca="1" si="0"/>
        <v>R</v>
      </c>
      <c r="F30" s="306"/>
      <c r="G30" s="307">
        <f t="shared" ca="1" si="1"/>
        <v>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24</v>
      </c>
      <c r="AW30" s="234">
        <f>COUNTIF( AV$7:AV30, AV30 )</f>
        <v>11</v>
      </c>
      <c r="AX30" s="287">
        <f t="shared" si="22"/>
        <v>25.1</v>
      </c>
      <c r="AY30" s="234">
        <f t="shared" si="23"/>
        <v>34</v>
      </c>
      <c r="AZ30" s="236"/>
      <c r="BA30" s="236"/>
      <c r="BC30" s="234">
        <f t="shared" ca="1" si="24"/>
        <v>24</v>
      </c>
      <c r="BD30" s="288">
        <f t="shared" ca="1" si="7"/>
        <v>3</v>
      </c>
      <c r="BF30" s="240" t="str">
        <f t="shared" ca="1" si="8"/>
        <v>Ameren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12</v>
      </c>
      <c r="AX31" s="287">
        <f t="shared" si="22"/>
        <v>25.2</v>
      </c>
      <c r="AY31" s="234">
        <f t="shared" si="23"/>
        <v>35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5</v>
      </c>
      <c r="AX32" s="287">
        <f t="shared" si="22"/>
        <v>2.5</v>
      </c>
      <c r="AY32" s="234">
        <f t="shared" si="23"/>
        <v>6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32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44</v>
      </c>
      <c r="AW33" s="234">
        <f>COUNTIF( AV$7:AV33, AV33 )</f>
        <v>5</v>
      </c>
      <c r="AX33" s="287">
        <f t="shared" si="22"/>
        <v>44.5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60</v>
      </c>
      <c r="B34" s="304" t="s">
        <v>28</v>
      </c>
      <c r="C34" s="304">
        <v>18</v>
      </c>
      <c r="D34" s="304" t="s">
        <v>283</v>
      </c>
      <c r="E34" s="305" t="str">
        <f t="shared" ca="1" si="0"/>
        <v>R</v>
      </c>
      <c r="F34" s="306"/>
      <c r="G34" s="307">
        <f t="shared" ca="1" si="1"/>
        <v>15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13</v>
      </c>
      <c r="AW34" s="234">
        <f>COUNTIF( AV$7:AV34, AV34 )</f>
        <v>4</v>
      </c>
      <c r="AX34" s="287">
        <f t="shared" si="22"/>
        <v>13.4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9</v>
      </c>
      <c r="BF34" s="240" t="str">
        <f t="shared" ca="1" si="8"/>
        <v>CMS Energy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CMS</v>
      </c>
    </row>
    <row r="35" spans="1:61" ht="13.8" x14ac:dyDescent="0.25">
      <c r="A35" s="303" t="s">
        <v>34</v>
      </c>
      <c r="B35" s="304" t="s">
        <v>28</v>
      </c>
      <c r="C35" s="304">
        <v>18</v>
      </c>
      <c r="D35" s="304" t="s">
        <v>293</v>
      </c>
      <c r="E35" s="305" t="str">
        <f t="shared" ca="1" si="0"/>
        <v>R</v>
      </c>
      <c r="F35" s="306"/>
      <c r="G35" s="307">
        <f t="shared" ca="1" si="1"/>
        <v>21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13</v>
      </c>
      <c r="AW35" s="234">
        <f>COUNTIF( AV$7:AV35, AV35 )</f>
        <v>5</v>
      </c>
      <c r="AX35" s="287">
        <f t="shared" si="22"/>
        <v>13.5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16</v>
      </c>
      <c r="BF35" s="240" t="str">
        <f t="shared" ca="1" si="8"/>
        <v>El Paso Electric Company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EE</v>
      </c>
    </row>
    <row r="36" spans="1:61" ht="13.8" x14ac:dyDescent="0.25">
      <c r="A36" s="303" t="s">
        <v>35</v>
      </c>
      <c r="B36" s="304" t="s">
        <v>28</v>
      </c>
      <c r="C36" s="304">
        <v>18</v>
      </c>
      <c r="D36" s="304" t="s">
        <v>292</v>
      </c>
      <c r="E36" s="305" t="str">
        <f t="shared" ca="1" si="0"/>
        <v>R</v>
      </c>
      <c r="F36" s="306"/>
      <c r="G36" s="307">
        <f t="shared" ca="1" si="1"/>
        <v>22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6</v>
      </c>
      <c r="AX36" s="287">
        <f t="shared" si="22"/>
        <v>2.6</v>
      </c>
      <c r="AY36" s="234">
        <f t="shared" si="23"/>
        <v>7</v>
      </c>
      <c r="AZ36" s="236"/>
      <c r="BA36" s="236"/>
      <c r="BC36" s="234">
        <f t="shared" ca="1" si="24"/>
        <v>30</v>
      </c>
      <c r="BD36" s="288">
        <f t="shared" ca="1" si="7"/>
        <v>17</v>
      </c>
      <c r="BF36" s="240" t="str">
        <f t="shared" ca="1" si="8"/>
        <v>Empire District Electric Company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EDE</v>
      </c>
    </row>
    <row r="37" spans="1:61" ht="13.8" x14ac:dyDescent="0.25">
      <c r="A37" s="303" t="s">
        <v>36</v>
      </c>
      <c r="B37" s="304" t="s">
        <v>28</v>
      </c>
      <c r="C37" s="304">
        <v>18</v>
      </c>
      <c r="D37" s="304" t="s">
        <v>296</v>
      </c>
      <c r="E37" s="305" t="str">
        <f t="shared" ca="1" si="0"/>
        <v>R</v>
      </c>
      <c r="F37" s="306"/>
      <c r="G37" s="307">
        <f t="shared" ca="1" si="1"/>
        <v>23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44</v>
      </c>
      <c r="AW37" s="234">
        <f>COUNTIF( AV$7:AV37, AV37 )</f>
        <v>6</v>
      </c>
      <c r="AX37" s="287">
        <f t="shared" si="22"/>
        <v>44.6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19</v>
      </c>
      <c r="BF37" s="240" t="str">
        <f t="shared" ca="1" si="8"/>
        <v>Entergy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ETR</v>
      </c>
    </row>
    <row r="38" spans="1:61" ht="13.8" x14ac:dyDescent="0.25">
      <c r="A38" s="303" t="s">
        <v>11</v>
      </c>
      <c r="B38" s="304" t="s">
        <v>28</v>
      </c>
      <c r="C38" s="304">
        <v>18</v>
      </c>
      <c r="D38" s="304" t="s">
        <v>297</v>
      </c>
      <c r="E38" s="305" t="str">
        <f t="shared" ca="1" si="0"/>
        <v>MR</v>
      </c>
      <c r="F38" s="306"/>
      <c r="G38" s="307">
        <f t="shared" ca="1" si="1"/>
        <v>24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9" t="s">
        <v>511</v>
      </c>
      <c r="AV38" s="234">
        <f t="shared" si="21"/>
        <v>2</v>
      </c>
      <c r="AW38" s="234">
        <f>COUNTIF( AV$7:AV38, AV38 )</f>
        <v>7</v>
      </c>
      <c r="AX38" s="287">
        <f t="shared" si="22"/>
        <v>2.7</v>
      </c>
      <c r="AY38" s="234">
        <f t="shared" si="23"/>
        <v>8</v>
      </c>
      <c r="AZ38" s="236"/>
      <c r="BA38" s="236"/>
      <c r="BC38" s="234">
        <f t="shared" ca="1" si="24"/>
        <v>32</v>
      </c>
      <c r="BD38" s="288">
        <f t="shared" ca="1" si="7"/>
        <v>20</v>
      </c>
      <c r="BF38" s="240" t="str">
        <f t="shared" ca="1" si="8"/>
        <v>Exelon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EXC</v>
      </c>
    </row>
    <row r="39" spans="1:61" ht="13.8" x14ac:dyDescent="0.25">
      <c r="A39" s="303" t="s">
        <v>260</v>
      </c>
      <c r="B39" s="304" t="s">
        <v>28</v>
      </c>
      <c r="C39" s="304">
        <v>18</v>
      </c>
      <c r="D39" s="304" t="s">
        <v>300</v>
      </c>
      <c r="E39" s="305" t="str">
        <f t="shared" ca="1" si="0"/>
        <v>R</v>
      </c>
      <c r="F39" s="306"/>
      <c r="G39" s="307">
        <f t="shared" ca="1" si="1"/>
        <v>26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13</v>
      </c>
      <c r="AX39" s="287">
        <f t="shared" si="22"/>
        <v>25.3</v>
      </c>
      <c r="AY39" s="234">
        <f t="shared" si="23"/>
        <v>36</v>
      </c>
      <c r="AZ39" s="236"/>
      <c r="BA39" s="236"/>
      <c r="BC39" s="234">
        <f t="shared" ca="1" si="24"/>
        <v>33</v>
      </c>
      <c r="BD39" s="288">
        <f t="shared" ca="1" si="7"/>
        <v>22</v>
      </c>
      <c r="BF39" s="240" t="str">
        <f t="shared" ref="BF39:BF63" ca="1" si="25">OFFSET( AQ$6, $BD39, 0 )</f>
        <v>Great Plains Energy Inc.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GXP</v>
      </c>
    </row>
    <row r="40" spans="1:61" ht="13.8" x14ac:dyDescent="0.25">
      <c r="A40" s="303" t="s">
        <v>451</v>
      </c>
      <c r="B40" s="304" t="s">
        <v>28</v>
      </c>
      <c r="C40" s="304">
        <v>18</v>
      </c>
      <c r="D40" s="304" t="s">
        <v>443</v>
      </c>
      <c r="E40" s="305" t="str">
        <f t="shared" ca="1" si="0"/>
        <v>R</v>
      </c>
      <c r="F40" s="306"/>
      <c r="G40" s="307">
        <f t="shared" ca="1" si="1"/>
        <v>58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39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17</v>
      </c>
      <c r="AT40" s="286" t="s">
        <v>313</v>
      </c>
      <c r="AV40" s="234">
        <f t="shared" si="21"/>
        <v>44</v>
      </c>
      <c r="AW40" s="234">
        <f>COUNTIF( AV$7:AV40, AV40 )</f>
        <v>7</v>
      </c>
      <c r="AX40" s="287">
        <f t="shared" si="22"/>
        <v>44.7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24</v>
      </c>
      <c r="BF40" s="240" t="str">
        <f t="shared" ca="1" si="25"/>
        <v>Iberdrola USA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**EAST</v>
      </c>
    </row>
    <row r="41" spans="1:61" ht="13.8" x14ac:dyDescent="0.25">
      <c r="A41" s="303" t="s">
        <v>20</v>
      </c>
      <c r="B41" s="304" t="s">
        <v>28</v>
      </c>
      <c r="C41" s="304">
        <v>18</v>
      </c>
      <c r="D41" s="304" t="s">
        <v>302</v>
      </c>
      <c r="E41" s="305" t="str">
        <f t="shared" ca="1" si="0"/>
        <v>R</v>
      </c>
      <c r="F41" s="306"/>
      <c r="G41" s="307">
        <f t="shared" ca="1" si="1"/>
        <v>28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40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10</v>
      </c>
      <c r="AS41" s="286">
        <v>20</v>
      </c>
      <c r="AT41" s="286" t="s">
        <v>315</v>
      </c>
      <c r="AV41" s="234">
        <f t="shared" si="21"/>
        <v>2</v>
      </c>
      <c r="AW41" s="234">
        <f>COUNTIF( AV$7:AV41, AV41 )</f>
        <v>8</v>
      </c>
      <c r="AX41" s="287">
        <f t="shared" si="22"/>
        <v>2.8</v>
      </c>
      <c r="AY41" s="234">
        <f t="shared" si="23"/>
        <v>9</v>
      </c>
      <c r="AZ41" s="236"/>
      <c r="BA41" s="236"/>
      <c r="BC41" s="234">
        <f t="shared" ca="1" si="24"/>
        <v>35</v>
      </c>
      <c r="BD41" s="288">
        <f t="shared" ca="1" si="7"/>
        <v>25</v>
      </c>
      <c r="BF41" s="240" t="str">
        <f t="shared" ca="1" si="25"/>
        <v>IDACORP, Inc.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IDA</v>
      </c>
    </row>
    <row r="42" spans="1:61" ht="13.8" x14ac:dyDescent="0.25">
      <c r="A42" s="303" t="s">
        <v>66</v>
      </c>
      <c r="B42" s="304" t="s">
        <v>28</v>
      </c>
      <c r="C42" s="304">
        <v>18</v>
      </c>
      <c r="D42" s="304" t="s">
        <v>314</v>
      </c>
      <c r="E42" s="305" t="str">
        <f t="shared" ca="1" si="0"/>
        <v>R</v>
      </c>
      <c r="F42" s="306"/>
      <c r="G42" s="307">
        <f t="shared" ca="1" si="1"/>
        <v>35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41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28</v>
      </c>
      <c r="AS42" s="286">
        <v>18</v>
      </c>
      <c r="AT42" s="286" t="s">
        <v>316</v>
      </c>
      <c r="AV42" s="234">
        <f t="shared" si="21"/>
        <v>24</v>
      </c>
      <c r="AW42" s="234">
        <f>COUNTIF( AV$7:AV42, AV42 )</f>
        <v>14</v>
      </c>
      <c r="AX42" s="287">
        <f t="shared" si="22"/>
        <v>25.4</v>
      </c>
      <c r="AY42" s="234">
        <f t="shared" si="23"/>
        <v>37</v>
      </c>
      <c r="AZ42" s="236"/>
      <c r="BA42" s="236"/>
      <c r="BC42" s="234">
        <f t="shared" ca="1" si="24"/>
        <v>36</v>
      </c>
      <c r="BD42" s="288">
        <f t="shared" ca="1" si="7"/>
        <v>33</v>
      </c>
      <c r="BF42" s="240" t="str">
        <f t="shared" ca="1" si="25"/>
        <v>NorthWestern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NWE</v>
      </c>
    </row>
    <row r="43" spans="1:61" ht="13.8" x14ac:dyDescent="0.25">
      <c r="A43" s="303" t="s">
        <v>22</v>
      </c>
      <c r="B43" s="304" t="s">
        <v>28</v>
      </c>
      <c r="C43" s="304">
        <v>18</v>
      </c>
      <c r="D43" s="304" t="s">
        <v>316</v>
      </c>
      <c r="E43" s="305" t="str">
        <f t="shared" ca="1" si="0"/>
        <v>MR</v>
      </c>
      <c r="F43" s="306"/>
      <c r="G43" s="307">
        <f t="shared" ca="1" si="1"/>
        <v>38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>
        <f t="shared" ca="1" si="3"/>
        <v>1</v>
      </c>
      <c r="AH43" s="236" t="str">
        <f t="shared" ca="1" si="19"/>
        <v/>
      </c>
      <c r="AJ43" s="236">
        <f t="shared" ca="1" si="4"/>
        <v>55</v>
      </c>
      <c r="AK43" s="236" t="str">
        <f t="shared" ca="1" si="20"/>
        <v>BBB-</v>
      </c>
      <c r="AL43" s="236">
        <f t="shared" ca="1" si="20"/>
        <v>17</v>
      </c>
      <c r="AM43" s="236" t="str">
        <f t="shared" ca="1" si="5"/>
        <v>Change</v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13</v>
      </c>
      <c r="AW43" s="234">
        <f>COUNTIF( AV$7:AV43, AV43 )</f>
        <v>6</v>
      </c>
      <c r="AX43" s="287">
        <f t="shared" si="22"/>
        <v>13.6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36</v>
      </c>
      <c r="BF43" s="240" t="str">
        <f t="shared" ca="1" si="25"/>
        <v>Otter Tail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OTTR</v>
      </c>
    </row>
    <row r="44" spans="1:61" ht="13.8" x14ac:dyDescent="0.25">
      <c r="A44" s="303" t="s">
        <v>53</v>
      </c>
      <c r="B44" s="304" t="s">
        <v>28</v>
      </c>
      <c r="C44" s="304">
        <v>18</v>
      </c>
      <c r="D44" s="304" t="s">
        <v>317</v>
      </c>
      <c r="E44" s="305" t="str">
        <f t="shared" ca="1" si="0"/>
        <v>R</v>
      </c>
      <c r="F44" s="306"/>
      <c r="G44" s="307">
        <f t="shared" ca="1" si="1"/>
        <v>40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42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24</v>
      </c>
      <c r="AW44" s="234">
        <f>COUNTIF( AV$7:AV44, AV44 )</f>
        <v>15</v>
      </c>
      <c r="AX44" s="287">
        <f t="shared" si="22"/>
        <v>25.5</v>
      </c>
      <c r="AY44" s="234">
        <f t="shared" si="23"/>
        <v>38</v>
      </c>
      <c r="AZ44" s="236"/>
      <c r="BA44" s="236"/>
      <c r="BC44" s="234">
        <f t="shared" ca="1" si="24"/>
        <v>38</v>
      </c>
      <c r="BD44" s="288">
        <f t="shared" ca="1" si="7"/>
        <v>38</v>
      </c>
      <c r="BF44" s="240" t="str">
        <f t="shared" ca="1" si="25"/>
        <v>PG&amp;E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PCG</v>
      </c>
    </row>
    <row r="45" spans="1:61" ht="13.8" x14ac:dyDescent="0.25">
      <c r="A45" s="303" t="s">
        <v>42</v>
      </c>
      <c r="B45" s="304" t="s">
        <v>28</v>
      </c>
      <c r="C45" s="304">
        <v>18</v>
      </c>
      <c r="D45" s="304" t="s">
        <v>320</v>
      </c>
      <c r="E45" s="305" t="str">
        <f t="shared" ca="1" si="0"/>
        <v>R</v>
      </c>
      <c r="F45" s="306"/>
      <c r="G45" s="307">
        <f t="shared" ca="1" si="1"/>
        <v>42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>
        <f t="shared" ca="1" si="3"/>
        <v>1</v>
      </c>
      <c r="AH45" s="236" t="str">
        <f t="shared" ca="1" si="19"/>
        <v/>
      </c>
      <c r="AJ45" s="236">
        <f t="shared" ca="1" si="4"/>
        <v>56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>Change</v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13</v>
      </c>
      <c r="AW45" s="234">
        <f>COUNTIF( AV$7:AV45, AV45 )</f>
        <v>7</v>
      </c>
      <c r="AX45" s="287">
        <f t="shared" si="22"/>
        <v>13.7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40</v>
      </c>
      <c r="BF45" s="240" t="str">
        <f t="shared" ca="1" si="25"/>
        <v>PNM Resources,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PNM</v>
      </c>
    </row>
    <row r="46" spans="1:61" ht="13.8" x14ac:dyDescent="0.25">
      <c r="A46" s="303" t="s">
        <v>24</v>
      </c>
      <c r="B46" s="304" t="s">
        <v>28</v>
      </c>
      <c r="C46" s="304">
        <v>18</v>
      </c>
      <c r="D46" s="304" t="s">
        <v>323</v>
      </c>
      <c r="E46" s="305" t="str">
        <f t="shared" ca="1" si="0"/>
        <v>R</v>
      </c>
      <c r="F46" s="306"/>
      <c r="G46" s="307">
        <f t="shared" ca="1" si="1"/>
        <v>43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28</v>
      </c>
      <c r="AS46" s="286">
        <v>18</v>
      </c>
      <c r="AT46" s="286" t="s">
        <v>320</v>
      </c>
      <c r="AV46" s="234">
        <f t="shared" si="21"/>
        <v>24</v>
      </c>
      <c r="AW46" s="234">
        <f>COUNTIF( AV$7:AV46, AV46 )</f>
        <v>16</v>
      </c>
      <c r="AX46" s="287">
        <f t="shared" si="22"/>
        <v>25.6</v>
      </c>
      <c r="AY46" s="234">
        <f t="shared" si="23"/>
        <v>39</v>
      </c>
      <c r="AZ46" s="236"/>
      <c r="BA46" s="236"/>
      <c r="BC46" s="234">
        <f t="shared" ca="1" si="24"/>
        <v>40</v>
      </c>
      <c r="BD46" s="288">
        <f t="shared" ca="1" si="7"/>
        <v>41</v>
      </c>
      <c r="BF46" s="240" t="str">
        <f t="shared" ca="1" si="25"/>
        <v>Portland General Electric Company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POR</v>
      </c>
    </row>
    <row r="47" spans="1:61" ht="13.8" x14ac:dyDescent="0.25">
      <c r="A47" s="303" t="s">
        <v>43</v>
      </c>
      <c r="B47" s="304" t="s">
        <v>28</v>
      </c>
      <c r="C47" s="304">
        <v>18</v>
      </c>
      <c r="D47" s="304" t="s">
        <v>324</v>
      </c>
      <c r="E47" s="305" t="str">
        <f t="shared" ca="1" si="0"/>
        <v>MR</v>
      </c>
      <c r="F47" s="306"/>
      <c r="G47" s="307">
        <f t="shared" ca="1" si="1"/>
        <v>44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17</v>
      </c>
      <c r="AX47" s="287">
        <f t="shared" si="22"/>
        <v>25.7</v>
      </c>
      <c r="AY47" s="234">
        <f t="shared" si="23"/>
        <v>40</v>
      </c>
      <c r="AZ47" s="236"/>
      <c r="BA47" s="236"/>
      <c r="BC47" s="234">
        <f t="shared" ca="1" si="24"/>
        <v>41</v>
      </c>
      <c r="BD47" s="288">
        <f t="shared" ca="1" si="7"/>
        <v>42</v>
      </c>
      <c r="BF47" s="240" t="str">
        <f t="shared" ca="1" si="25"/>
        <v>PPL Corporation</v>
      </c>
      <c r="BG47" s="240" t="str">
        <f t="shared" ca="1" si="9"/>
        <v>BBB</v>
      </c>
      <c r="BH47" s="240">
        <f t="shared" ca="1" si="9"/>
        <v>18</v>
      </c>
      <c r="BI47" s="240" t="str">
        <f t="shared" ca="1" si="9"/>
        <v>PPL</v>
      </c>
    </row>
    <row r="48" spans="1:61" ht="13.8" x14ac:dyDescent="0.25">
      <c r="A48" s="303" t="s">
        <v>75</v>
      </c>
      <c r="B48" s="304" t="s">
        <v>28</v>
      </c>
      <c r="C48" s="304">
        <v>18</v>
      </c>
      <c r="D48" s="304" t="s">
        <v>331</v>
      </c>
      <c r="E48" s="305" t="str">
        <f t="shared" ca="1" si="0"/>
        <v>R</v>
      </c>
      <c r="F48" s="306"/>
      <c r="G48" s="307">
        <f t="shared" ca="1" si="1"/>
        <v>50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</v>
      </c>
      <c r="AL48" s="236">
        <f t="shared" ca="1" si="20"/>
        <v>18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18</v>
      </c>
      <c r="AX48" s="287">
        <f t="shared" si="22"/>
        <v>25.8</v>
      </c>
      <c r="AY48" s="234">
        <f t="shared" si="23"/>
        <v>41</v>
      </c>
      <c r="AZ48" s="236"/>
      <c r="BA48" s="236"/>
      <c r="BC48" s="234">
        <f t="shared" ca="1" si="24"/>
        <v>42</v>
      </c>
      <c r="BD48" s="288">
        <f t="shared" ca="1" si="7"/>
        <v>49</v>
      </c>
      <c r="BF48" s="240" t="str">
        <f t="shared" ca="1" si="25"/>
        <v>UIL Holdings Corporation</v>
      </c>
      <c r="BG48" s="240" t="str">
        <f t="shared" ca="1" si="9"/>
        <v>BBB</v>
      </c>
      <c r="BH48" s="240">
        <f t="shared" ca="1" si="9"/>
        <v>18</v>
      </c>
      <c r="BI48" s="240" t="str">
        <f t="shared" ca="1" si="9"/>
        <v>UIL</v>
      </c>
    </row>
    <row r="49" spans="1:61" ht="13.8" x14ac:dyDescent="0.25">
      <c r="A49" s="303" t="s">
        <v>59</v>
      </c>
      <c r="B49" s="304" t="s">
        <v>28</v>
      </c>
      <c r="C49" s="304">
        <v>18</v>
      </c>
      <c r="D49" s="304" t="s">
        <v>336</v>
      </c>
      <c r="E49" s="305" t="str">
        <f t="shared" ca="1" si="0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47</v>
      </c>
      <c r="AK49" s="236" t="str">
        <f t="shared" ca="1" si="20"/>
        <v>BBB</v>
      </c>
      <c r="AL49" s="236">
        <f t="shared" ca="1" si="20"/>
        <v>18</v>
      </c>
      <c r="AM49" s="236" t="str">
        <f t="shared" ca="1" si="5"/>
        <v/>
      </c>
      <c r="AQ49" s="286" t="s">
        <v>45</v>
      </c>
      <c r="AR49" s="286" t="s">
        <v>16</v>
      </c>
      <c r="AS49" s="286">
        <v>19</v>
      </c>
      <c r="AT49" s="286" t="s">
        <v>318</v>
      </c>
      <c r="AV49" s="234">
        <f t="shared" si="21"/>
        <v>13</v>
      </c>
      <c r="AW49" s="234">
        <f>COUNTIF( AV$7:AV49, AV49 )</f>
        <v>8</v>
      </c>
      <c r="AX49" s="287">
        <f t="shared" si="22"/>
        <v>13.8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51</v>
      </c>
      <c r="BF49" s="240" t="str">
        <f t="shared" ca="1" si="25"/>
        <v>Westar Energy, Inc.</v>
      </c>
      <c r="BG49" s="240" t="str">
        <f t="shared" ca="1" si="9"/>
        <v>BBB</v>
      </c>
      <c r="BH49" s="240">
        <f t="shared" ca="1" si="9"/>
        <v>18</v>
      </c>
      <c r="BI49" s="240" t="str">
        <f t="shared" ca="1" si="9"/>
        <v>WR</v>
      </c>
    </row>
    <row r="50" spans="1:61" ht="13.8" x14ac:dyDescent="0.25">
      <c r="A50" s="303" t="s">
        <v>48</v>
      </c>
      <c r="B50" s="304" t="s">
        <v>49</v>
      </c>
      <c r="C50" s="304">
        <v>17</v>
      </c>
      <c r="D50" s="304" t="s">
        <v>279</v>
      </c>
      <c r="E50" s="305" t="str">
        <f t="shared" ca="1" si="0"/>
        <v>R</v>
      </c>
      <c r="F50" s="306"/>
      <c r="G50" s="307">
        <f t="shared" ca="1" si="1"/>
        <v>12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48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6</v>
      </c>
      <c r="BF50" s="240" t="str">
        <f t="shared" ca="1" si="25"/>
        <v>Black Hills Corporation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BKH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R</v>
      </c>
      <c r="F51" s="306"/>
      <c r="G51" s="307">
        <f t="shared" ca="1" si="1"/>
        <v>20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49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13</v>
      </c>
      <c r="AW51" s="234">
        <f>COUNTIF( AV$7:AV51, AV51 )</f>
        <v>9</v>
      </c>
      <c r="AX51" s="287">
        <f t="shared" si="22"/>
        <v>13.9</v>
      </c>
      <c r="AY51" s="234">
        <f t="shared" si="23"/>
        <v>21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50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13</v>
      </c>
      <c r="AW52" s="234">
        <f>COUNTIF( AV$7:AV52, AV52 )</f>
        <v>10</v>
      </c>
      <c r="AX52" s="287">
        <f t="shared" si="22"/>
        <v>14</v>
      </c>
      <c r="AY52" s="234">
        <f t="shared" si="23"/>
        <v>22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MR</v>
      </c>
      <c r="F53" s="306"/>
      <c r="G53" s="307">
        <f t="shared" ca="1" si="1"/>
        <v>27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51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61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52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6" t="s">
        <v>329</v>
      </c>
      <c r="AV54" s="234">
        <f t="shared" si="21"/>
        <v>13</v>
      </c>
      <c r="AW54" s="234">
        <f>COUNTIF( AV$7:AV54, AV54 )</f>
        <v>11</v>
      </c>
      <c r="AX54" s="287">
        <f t="shared" si="22"/>
        <v>14.1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33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53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24</v>
      </c>
      <c r="AW55" s="234">
        <f>COUNTIF( AV$7:AV55, AV55 )</f>
        <v>19</v>
      </c>
      <c r="AX55" s="287">
        <f t="shared" si="22"/>
        <v>25.9</v>
      </c>
      <c r="AY55" s="234">
        <f t="shared" si="23"/>
        <v>42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265</v>
      </c>
      <c r="B56" s="304" t="s">
        <v>49</v>
      </c>
      <c r="C56" s="304">
        <v>17</v>
      </c>
      <c r="D56" s="304" t="s">
        <v>313</v>
      </c>
      <c r="E56" s="305" t="str">
        <f t="shared" ca="1" si="0"/>
        <v>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54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9</v>
      </c>
      <c r="AX56" s="287">
        <f t="shared" si="22"/>
        <v>2.9</v>
      </c>
      <c r="AY56" s="234">
        <f t="shared" si="23"/>
        <v>10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25"/>
        <v>NV Energy,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63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24</v>
      </c>
      <c r="AW57" s="234">
        <f>COUNTIF( AV$7:AV57, AV57 )</f>
        <v>20</v>
      </c>
      <c r="AX57" s="287">
        <f t="shared" si="22"/>
        <v>26</v>
      </c>
      <c r="AY57" s="234">
        <f t="shared" si="23"/>
        <v>43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59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10</v>
      </c>
      <c r="AX58" s="287">
        <f t="shared" si="22"/>
        <v>3</v>
      </c>
      <c r="AY58" s="234">
        <f t="shared" si="23"/>
        <v>11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60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11</v>
      </c>
      <c r="AX59" s="287">
        <f t="shared" si="22"/>
        <v>3.1</v>
      </c>
      <c r="AY59" s="234">
        <f t="shared" si="23"/>
        <v>12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31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475</v>
      </c>
      <c r="B63" s="304" t="s">
        <v>56</v>
      </c>
      <c r="C63" s="304">
        <v>16</v>
      </c>
      <c r="D63" s="304" t="s">
        <v>441</v>
      </c>
      <c r="E63" s="305" t="str">
        <f ca="1">OFFSET( INDIRECT( E$3 &amp; E$4 ), $G63 - 1, 0 )</f>
        <v>R</v>
      </c>
      <c r="F63" s="306"/>
      <c r="G63" s="307">
        <f t="shared" ca="1" si="1"/>
        <v>52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BB+</v>
      </c>
      <c r="AL63" s="236">
        <f t="shared" ca="1" si="20"/>
        <v>16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476</v>
      </c>
      <c r="B64" s="304"/>
      <c r="C64" s="304"/>
      <c r="D64" s="304" t="s">
        <v>447</v>
      </c>
      <c r="E64" s="305" t="str">
        <f ca="1">OFFSET( INDIRECT( E$3 &amp; E$4 ), $G64 - 1, 0 )</f>
        <v>R</v>
      </c>
      <c r="F64" s="306"/>
      <c r="G64" s="307">
        <f t="shared" ca="1" si="1"/>
        <v>51</v>
      </c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9"/>
        <v/>
      </c>
      <c r="AJ64" s="236">
        <f t="shared" ca="1" si="4"/>
        <v>65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 t="e">
        <f t="shared" ca="1" si="4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473</v>
      </c>
      <c r="AR66" s="286" t="s">
        <v>108</v>
      </c>
      <c r="AS66" s="286">
        <v>23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18.327272727272728</v>
      </c>
      <c r="D68" s="276"/>
      <c r="E68" s="276"/>
      <c r="F68" s="250"/>
      <c r="H68" s="250"/>
      <c r="I68" s="250"/>
      <c r="J68" s="253"/>
      <c r="K68" s="253"/>
      <c r="AQ68" s="286" t="s">
        <v>476</v>
      </c>
      <c r="AR68" s="286"/>
      <c r="AS68" s="286"/>
      <c r="AT68" s="286" t="s">
        <v>447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469</v>
      </c>
      <c r="D74" s="280"/>
      <c r="E74" s="234"/>
      <c r="F74" s="282"/>
      <c r="H74" s="282"/>
      <c r="I74" s="282"/>
    </row>
    <row r="75" spans="1:58" x14ac:dyDescent="0.25">
      <c r="A75" s="279" t="s">
        <v>358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AQ77" s="286"/>
      <c r="AR77" s="286"/>
      <c r="AS77" s="286"/>
    </row>
    <row r="78" spans="1:58" x14ac:dyDescent="0.25">
      <c r="C78" s="339">
        <f>SUMPRODUCT( L8:L13, Y8:Y13 ) / L14</f>
        <v>18.436363636363637</v>
      </c>
      <c r="E78" s="283"/>
      <c r="G78" s="251"/>
      <c r="J78" s="240"/>
      <c r="K78" s="240"/>
      <c r="AQ78" s="286"/>
      <c r="AR78" s="286"/>
      <c r="AS78" s="286"/>
    </row>
    <row r="79" spans="1:58" s="240" customFormat="1" ht="13.8" x14ac:dyDescent="0.25">
      <c r="A79" s="284"/>
      <c r="B79" s="285"/>
      <c r="C79" s="285"/>
      <c r="D79" s="285"/>
      <c r="E79" s="249"/>
      <c r="F79" s="234"/>
      <c r="G79" s="236"/>
      <c r="H79" s="234"/>
      <c r="I79" s="234"/>
      <c r="Q79" s="234"/>
      <c r="T79" s="236"/>
      <c r="U79" s="236"/>
      <c r="V79" s="236"/>
      <c r="AF79" s="236"/>
      <c r="AG79" s="236"/>
      <c r="AH79" s="236"/>
      <c r="AJ79" s="236"/>
      <c r="AK79" s="236"/>
      <c r="AL79" s="236"/>
      <c r="AM79" s="236"/>
      <c r="AN79" s="236"/>
      <c r="AQ79" s="286"/>
      <c r="AR79" s="286"/>
      <c r="AS79" s="286"/>
    </row>
  </sheetData>
  <sortState xmlns:xlrd2="http://schemas.microsoft.com/office/spreadsheetml/2017/richdata2"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206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activeCell="X68" sqref="X68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-- 2013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'Credit_2012Q4'!a:a</v>
      </c>
      <c r="AK2" s="240" t="str">
        <f>AK4 &amp; AK3</f>
        <v>'Credit_2012Q4'!b1</v>
      </c>
      <c r="AL2" s="240" t="str">
        <f>AL4 &amp; AL3</f>
        <v>'Credit_2012Q4'!c1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450</v>
      </c>
      <c r="AK4" s="236" t="str">
        <f>AJ4</f>
        <v>'Credit_2012Q4'!</v>
      </c>
      <c r="AL4" s="236" t="str">
        <f>AK4</f>
        <v>'Credit_2012Q4'!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(56)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(3)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428</v>
      </c>
      <c r="C6" s="338" t="s">
        <v>470</v>
      </c>
      <c r="D6" s="301"/>
      <c r="E6" s="302">
        <v>40908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15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17</v>
      </c>
      <c r="BI7" s="240" t="str">
        <f t="shared" ca="1" si="9"/>
        <v>SO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ca="1" si="0"/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>
        <f t="shared" ca="1" si="3"/>
        <v>1</v>
      </c>
      <c r="AH8" s="236" t="str">
        <f t="shared" ref="AH8:AH67" ca="1" si="19">IF( LEN( $C8 ) = 0, "", IF( $C8 &lt; $AL8, 1, "" ) )</f>
        <v/>
      </c>
      <c r="AJ8" s="236">
        <f t="shared" ca="1" si="4"/>
        <v>17</v>
      </c>
      <c r="AK8" s="236" t="str">
        <f t="shared" ref="AK8:AL67" ca="1" si="20">IF( ISNA( $AJ8 ), "", OFFSET( INDIRECT( AK$2 ), $AJ8-1, 0 ) )</f>
        <v>BBB+</v>
      </c>
      <c r="AL8" s="236">
        <f t="shared" ca="1" si="20"/>
        <v>19</v>
      </c>
      <c r="AM8" s="236" t="str">
        <f t="shared" ca="1" si="5"/>
        <v>Change</v>
      </c>
      <c r="AQ8" s="286" t="s">
        <v>17</v>
      </c>
      <c r="AR8" s="286" t="s">
        <v>10</v>
      </c>
      <c r="AS8" s="286">
        <v>16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7"/>
        <v>2</v>
      </c>
      <c r="BF8" s="240" t="str">
        <f t="shared" ca="1" si="8"/>
        <v>Alliant Energy Corporation</v>
      </c>
      <c r="BG8" s="240" t="str">
        <f t="shared" ca="1" si="9"/>
        <v>A-</v>
      </c>
      <c r="BH8" s="240">
        <f t="shared" ca="1" si="9"/>
        <v>16</v>
      </c>
      <c r="BI8" s="240" t="str">
        <f t="shared" ca="1" si="9"/>
        <v>LNT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0.16071428571428573</v>
      </c>
      <c r="N9" s="318"/>
      <c r="O9" s="295">
        <f t="shared" ca="1" si="12"/>
        <v>7</v>
      </c>
      <c r="P9" s="296">
        <f t="shared" ca="1" si="13"/>
        <v>0.19444444444444445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8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28</v>
      </c>
      <c r="AS9" s="286">
        <v>14</v>
      </c>
      <c r="AT9" s="286" t="s">
        <v>273</v>
      </c>
      <c r="AV9" s="234">
        <f t="shared" si="21"/>
        <v>23</v>
      </c>
      <c r="AW9" s="234">
        <f>COUNTIF( AV$7:AV9, AV9 )</f>
        <v>1</v>
      </c>
      <c r="AX9" s="287">
        <f t="shared" si="22"/>
        <v>23.1</v>
      </c>
      <c r="AY9" s="234">
        <f t="shared" si="23"/>
        <v>23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16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12</v>
      </c>
      <c r="M10" s="296">
        <f t="shared" si="11"/>
        <v>0.21428571428571427</v>
      </c>
      <c r="N10" s="318"/>
      <c r="O10" s="295">
        <f t="shared" ca="1" si="12"/>
        <v>4</v>
      </c>
      <c r="P10" s="296">
        <f t="shared" ca="1" si="13"/>
        <v>0.1111111111111111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12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9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14</v>
      </c>
      <c r="AT10" s="286" t="s">
        <v>274</v>
      </c>
      <c r="AV10" s="234">
        <f t="shared" si="21"/>
        <v>23</v>
      </c>
      <c r="AW10" s="234">
        <f>COUNTIF( AV$7:AV10, AV10 )</f>
        <v>2</v>
      </c>
      <c r="AX10" s="287">
        <f t="shared" si="22"/>
        <v>23.2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16</v>
      </c>
      <c r="BI10" s="240" t="str">
        <f t="shared" ca="1" si="9"/>
        <v>D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19</v>
      </c>
      <c r="M11" s="296">
        <f t="shared" si="11"/>
        <v>0.3392857142857143</v>
      </c>
      <c r="N11" s="318"/>
      <c r="O11" s="295">
        <f t="shared" ca="1" si="12"/>
        <v>16</v>
      </c>
      <c r="P11" s="296">
        <f t="shared" ca="1" si="13"/>
        <v>0.44444444444444442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19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10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14</v>
      </c>
      <c r="AT11" s="286" t="s">
        <v>277</v>
      </c>
      <c r="AV11" s="234">
        <f t="shared" si="21"/>
        <v>23</v>
      </c>
      <c r="AW11" s="234">
        <f>COUNTIF( AV$7:AV11, AV11 )</f>
        <v>3</v>
      </c>
      <c r="AX11" s="287">
        <f t="shared" si="22"/>
        <v>23.3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16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9</v>
      </c>
      <c r="M12" s="296">
        <f t="shared" si="11"/>
        <v>0.16071428571428573</v>
      </c>
      <c r="N12" s="318"/>
      <c r="O12" s="295">
        <f t="shared" ca="1" si="12"/>
        <v>4</v>
      </c>
      <c r="P12" s="296">
        <f t="shared" ca="1" si="13"/>
        <v>0.1111111111111111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9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11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13</v>
      </c>
      <c r="AT12" s="286" t="s">
        <v>279</v>
      </c>
      <c r="AV12" s="234">
        <f t="shared" si="21"/>
        <v>42</v>
      </c>
      <c r="AW12" s="234">
        <f>COUNTIF( AV$7:AV12, AV12 )</f>
        <v>1</v>
      </c>
      <c r="AX12" s="287">
        <f t="shared" si="22"/>
        <v>42.1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16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12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15</v>
      </c>
      <c r="AT13" s="286" t="s">
        <v>285</v>
      </c>
      <c r="AV13" s="234">
        <f t="shared" si="21"/>
        <v>11</v>
      </c>
      <c r="AW13" s="234">
        <f>COUNTIF( AV$7:AV13, AV13 )</f>
        <v>2</v>
      </c>
      <c r="AX13" s="287">
        <f t="shared" si="22"/>
        <v>11.2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16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18.392857142857142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14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4</v>
      </c>
      <c r="AX14" s="287">
        <f t="shared" si="22"/>
        <v>23.4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50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16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28</v>
      </c>
      <c r="AS15" s="286">
        <v>14</v>
      </c>
      <c r="AT15" s="286" t="s">
        <v>283</v>
      </c>
      <c r="AV15" s="234">
        <f t="shared" si="21"/>
        <v>23</v>
      </c>
      <c r="AW15" s="234">
        <f>COUNTIF( AV$7:AV15, AV15 )</f>
        <v>5</v>
      </c>
      <c r="AX15" s="287">
        <f t="shared" si="22"/>
        <v>23.5</v>
      </c>
      <c r="AY15" s="234">
        <f t="shared" si="23"/>
        <v>27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16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18.285714285714285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18.361111111111111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18.705882352941178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15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16</v>
      </c>
      <c r="AT16" s="286" t="s">
        <v>291</v>
      </c>
      <c r="AV16" s="234">
        <f t="shared" si="21"/>
        <v>2</v>
      </c>
      <c r="AW16" s="234">
        <f>COUNTIF( AV$7:AV16, AV16 )</f>
        <v>2</v>
      </c>
      <c r="AX16" s="287">
        <f t="shared" si="22"/>
        <v>2.2000000000000002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53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16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16</v>
      </c>
      <c r="AT17" s="289" t="s">
        <v>86</v>
      </c>
      <c r="AV17" s="234">
        <f t="shared" si="21"/>
        <v>2</v>
      </c>
      <c r="AW17" s="234">
        <f>COUNTIF( AV$7:AV17, AV17 )</f>
        <v>3</v>
      </c>
      <c r="AX17" s="287">
        <f t="shared" si="22"/>
        <v>2.2999999999999998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15</v>
      </c>
      <c r="BI17" s="240" t="str">
        <f t="shared" ca="1" si="9"/>
        <v>ALE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11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15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15</v>
      </c>
      <c r="AT19" s="289" t="s">
        <v>288</v>
      </c>
      <c r="AV19" s="234">
        <f t="shared" si="21"/>
        <v>11</v>
      </c>
      <c r="AW19" s="234">
        <f>COUNTIF( AV$7:AV19, AV19 )</f>
        <v>3</v>
      </c>
      <c r="AX19" s="287">
        <f t="shared" si="22"/>
        <v>11.3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15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15</v>
      </c>
      <c r="AT20" s="289" t="s">
        <v>289</v>
      </c>
      <c r="AV20" s="234">
        <f t="shared" si="21"/>
        <v>11</v>
      </c>
      <c r="AW20" s="234">
        <f>COUNTIF( AV$7:AV20, AV20 )</f>
        <v>4</v>
      </c>
      <c r="AX20" s="287">
        <f t="shared" si="22"/>
        <v>11.4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15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13</v>
      </c>
      <c r="AT21" s="286" t="s">
        <v>295</v>
      </c>
      <c r="AV21" s="234">
        <f t="shared" si="21"/>
        <v>42</v>
      </c>
      <c r="AW21" s="234">
        <f>COUNTIF( AV$7:AV21, AV21 )</f>
        <v>2</v>
      </c>
      <c r="AX21" s="287">
        <f t="shared" si="22"/>
        <v>42.2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15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14</v>
      </c>
      <c r="AT22" s="286" t="s">
        <v>293</v>
      </c>
      <c r="AV22" s="234">
        <f t="shared" si="21"/>
        <v>23</v>
      </c>
      <c r="AW22" s="234">
        <f>COUNTIF( AV$7:AV22, AV22 )</f>
        <v>6</v>
      </c>
      <c r="AX22" s="287">
        <f t="shared" si="22"/>
        <v>23.6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15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28</v>
      </c>
      <c r="AS23" s="286">
        <v>14</v>
      </c>
      <c r="AT23" s="286" t="s">
        <v>292</v>
      </c>
      <c r="AV23" s="234">
        <f t="shared" si="21"/>
        <v>23</v>
      </c>
      <c r="AW23" s="234">
        <f>COUNTIF( AV$7:AV23, AV23 )</f>
        <v>7</v>
      </c>
      <c r="AX23" s="287">
        <f t="shared" si="22"/>
        <v>23.7</v>
      </c>
      <c r="AY23" s="234">
        <f t="shared" si="23"/>
        <v>29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15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5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15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14</v>
      </c>
      <c r="AT25" s="286" t="s">
        <v>296</v>
      </c>
      <c r="AV25" s="234">
        <f t="shared" si="21"/>
        <v>23</v>
      </c>
      <c r="AW25" s="234">
        <f>COUNTIF( AV$7:AV25, AV25 )</f>
        <v>8</v>
      </c>
      <c r="AX25" s="287">
        <f t="shared" si="22"/>
        <v>23.8</v>
      </c>
      <c r="AY25" s="234">
        <f t="shared" si="23"/>
        <v>30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15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14</v>
      </c>
      <c r="AT26" s="286" t="s">
        <v>297</v>
      </c>
      <c r="AV26" s="234">
        <f t="shared" si="21"/>
        <v>23</v>
      </c>
      <c r="AW26" s="234">
        <f>COUNTIF( AV$7:AV26, AV26 )</f>
        <v>9</v>
      </c>
      <c r="AX26" s="287">
        <f t="shared" si="22"/>
        <v>23.9</v>
      </c>
      <c r="AY26" s="234">
        <f t="shared" si="23"/>
        <v>31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15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13</v>
      </c>
      <c r="AT27" s="286" t="s">
        <v>298</v>
      </c>
      <c r="AV27" s="234">
        <f t="shared" si="21"/>
        <v>42</v>
      </c>
      <c r="AW27" s="234">
        <f>COUNTIF( AV$7:AV27, AV27 )</f>
        <v>3</v>
      </c>
      <c r="AX27" s="287">
        <f t="shared" si="22"/>
        <v>42.3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15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14</v>
      </c>
      <c r="AT28" s="286" t="s">
        <v>300</v>
      </c>
      <c r="AV28" s="234">
        <f t="shared" si="21"/>
        <v>23</v>
      </c>
      <c r="AW28" s="234">
        <f>COUNTIF( AV$7:AV28, AV28 )</f>
        <v>10</v>
      </c>
      <c r="AX28" s="287">
        <f t="shared" si="22"/>
        <v>24</v>
      </c>
      <c r="AY28" s="234">
        <f t="shared" si="23"/>
        <v>32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15</v>
      </c>
      <c r="BI28" s="240" t="str">
        <f t="shared" ca="1" si="9"/>
        <v>TE</v>
      </c>
    </row>
    <row r="29" spans="1:61" ht="13.8" x14ac:dyDescent="0.25">
      <c r="A29" s="303" t="s">
        <v>9</v>
      </c>
      <c r="B29" s="304" t="s">
        <v>28</v>
      </c>
      <c r="C29" s="304">
        <v>18</v>
      </c>
      <c r="D29" s="304" t="s">
        <v>273</v>
      </c>
      <c r="E29" s="305" t="str">
        <f t="shared" ca="1" si="0"/>
        <v>R</v>
      </c>
      <c r="F29" s="306"/>
      <c r="G29" s="307">
        <f t="shared" ca="1" si="1"/>
        <v>9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>
        <f t="shared" ca="1" si="3"/>
        <v>1</v>
      </c>
      <c r="AH29" s="236" t="str">
        <f t="shared" ca="1" si="19"/>
        <v/>
      </c>
      <c r="AJ29" s="236">
        <f t="shared" ca="1" si="4"/>
        <v>45</v>
      </c>
      <c r="AK29" s="236" t="str">
        <f t="shared" ca="1" si="20"/>
        <v>BBB-</v>
      </c>
      <c r="AL29" s="236">
        <f t="shared" ca="1" si="20"/>
        <v>17</v>
      </c>
      <c r="AM29" s="236" t="str">
        <f t="shared" ca="1" si="5"/>
        <v>Change</v>
      </c>
      <c r="AQ29" s="286" t="s">
        <v>39</v>
      </c>
      <c r="AR29" s="286" t="s">
        <v>49</v>
      </c>
      <c r="AS29" s="286">
        <v>13</v>
      </c>
      <c r="AT29" s="289" t="s">
        <v>301</v>
      </c>
      <c r="AV29" s="234">
        <f t="shared" si="21"/>
        <v>42</v>
      </c>
      <c r="AW29" s="234">
        <f>COUNTIF( AV$7:AV29, AV29 )</f>
        <v>4</v>
      </c>
      <c r="AX29" s="287">
        <f t="shared" si="22"/>
        <v>42.4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3</v>
      </c>
      <c r="BF29" s="240" t="str">
        <f t="shared" ca="1" si="8"/>
        <v>Ameren Corporation</v>
      </c>
      <c r="BG29" s="240" t="str">
        <f t="shared" ca="1" si="9"/>
        <v>BBB</v>
      </c>
      <c r="BH29" s="240">
        <f t="shared" ca="1" si="9"/>
        <v>14</v>
      </c>
      <c r="BI29" s="240" t="str">
        <f t="shared" ca="1" si="9"/>
        <v>AEE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29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14</v>
      </c>
      <c r="AT30" s="286" t="s">
        <v>443</v>
      </c>
      <c r="AV30" s="234">
        <f t="shared" si="21"/>
        <v>23</v>
      </c>
      <c r="AW30" s="234">
        <f>COUNTIF( AV$7:AV30, AV30 )</f>
        <v>11</v>
      </c>
      <c r="AX30" s="287">
        <f t="shared" si="22"/>
        <v>24.1</v>
      </c>
      <c r="AY30" s="234">
        <f t="shared" si="23"/>
        <v>33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14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30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14</v>
      </c>
      <c r="AT31" s="286" t="s">
        <v>302</v>
      </c>
      <c r="AV31" s="234">
        <f t="shared" si="21"/>
        <v>23</v>
      </c>
      <c r="AW31" s="234">
        <f>COUNTIF( AV$7:AV31, AV31 )</f>
        <v>12</v>
      </c>
      <c r="AX31" s="287">
        <f t="shared" si="22"/>
        <v>24.2</v>
      </c>
      <c r="AY31" s="234">
        <f t="shared" si="23"/>
        <v>34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14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31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16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14</v>
      </c>
      <c r="BI32" s="240" t="str">
        <f t="shared" ca="1" si="9"/>
        <v>CNL</v>
      </c>
    </row>
    <row r="33" spans="1:61" ht="13.8" x14ac:dyDescent="0.25">
      <c r="A33" s="303" t="s">
        <v>60</v>
      </c>
      <c r="B33" s="304" t="s">
        <v>28</v>
      </c>
      <c r="C33" s="304">
        <v>18</v>
      </c>
      <c r="D33" s="304" t="s">
        <v>283</v>
      </c>
      <c r="E33" s="305" t="str">
        <f t="shared" ca="1" si="0"/>
        <v>R</v>
      </c>
      <c r="F33" s="306"/>
      <c r="G33" s="307">
        <f t="shared" ca="1" si="1"/>
        <v>17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>
        <f t="shared" ca="1" si="3"/>
        <v>1</v>
      </c>
      <c r="AH33" s="236" t="str">
        <f t="shared" ca="1" si="19"/>
        <v/>
      </c>
      <c r="AJ33" s="236">
        <f t="shared" ca="1" si="4"/>
        <v>47</v>
      </c>
      <c r="AK33" s="236" t="str">
        <f t="shared" ca="1" si="20"/>
        <v>BBB-</v>
      </c>
      <c r="AL33" s="236">
        <f t="shared" ca="1" si="20"/>
        <v>17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13</v>
      </c>
      <c r="AT33" s="286" t="s">
        <v>445</v>
      </c>
      <c r="AV33" s="234">
        <f t="shared" si="21"/>
        <v>42</v>
      </c>
      <c r="AW33" s="234">
        <f>COUNTIF( AV$7:AV33, AV33 )</f>
        <v>5</v>
      </c>
      <c r="AX33" s="287">
        <f t="shared" si="22"/>
        <v>42.5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9</v>
      </c>
      <c r="BF33" s="240" t="str">
        <f t="shared" ca="1" si="8"/>
        <v>CMS Energy Corporation</v>
      </c>
      <c r="BG33" s="240" t="str">
        <f t="shared" ca="1" si="9"/>
        <v>BBB</v>
      </c>
      <c r="BH33" s="240">
        <f t="shared" ca="1" si="9"/>
        <v>14</v>
      </c>
      <c r="BI33" s="240" t="str">
        <f t="shared" ca="1" si="9"/>
        <v>CMS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32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15</v>
      </c>
      <c r="AT34" s="286" t="s">
        <v>308</v>
      </c>
      <c r="AV34" s="234">
        <f t="shared" si="21"/>
        <v>11</v>
      </c>
      <c r="AW34" s="234">
        <f>COUNTIF( AV$7:AV34, AV34 )</f>
        <v>5</v>
      </c>
      <c r="AX34" s="287">
        <f t="shared" si="22"/>
        <v>11.5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14</v>
      </c>
      <c r="BI34" s="240" t="str">
        <f t="shared" ca="1" si="9"/>
        <v>EE</v>
      </c>
    </row>
    <row r="35" spans="1:61" ht="13.8" x14ac:dyDescent="0.25">
      <c r="A35" s="303" t="s">
        <v>35</v>
      </c>
      <c r="B35" s="304" t="s">
        <v>28</v>
      </c>
      <c r="C35" s="304">
        <v>18</v>
      </c>
      <c r="D35" s="304" t="s">
        <v>292</v>
      </c>
      <c r="E35" s="305" t="str">
        <f t="shared" ca="1" si="0"/>
        <v>R</v>
      </c>
      <c r="F35" s="306"/>
      <c r="G35" s="307">
        <f t="shared" ca="1" si="1"/>
        <v>25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>
        <f t="shared" ca="1" si="3"/>
        <v>1</v>
      </c>
      <c r="AH35" s="236" t="str">
        <f t="shared" ca="1" si="19"/>
        <v/>
      </c>
      <c r="AJ35" s="236">
        <f t="shared" ca="1" si="4"/>
        <v>49</v>
      </c>
      <c r="AK35" s="236" t="str">
        <f t="shared" ca="1" si="20"/>
        <v>BBB-</v>
      </c>
      <c r="AL35" s="236">
        <f t="shared" ca="1" si="20"/>
        <v>17</v>
      </c>
      <c r="AM35" s="236" t="str">
        <f t="shared" ca="1" si="5"/>
        <v>Change</v>
      </c>
      <c r="AQ35" s="286" t="s">
        <v>52</v>
      </c>
      <c r="AR35" s="286" t="s">
        <v>16</v>
      </c>
      <c r="AS35" s="286">
        <v>15</v>
      </c>
      <c r="AT35" s="286" t="s">
        <v>446</v>
      </c>
      <c r="AV35" s="234">
        <f t="shared" si="21"/>
        <v>11</v>
      </c>
      <c r="AW35" s="234">
        <f>COUNTIF( AV$7:AV35, AV35 )</f>
        <v>6</v>
      </c>
      <c r="AX35" s="287">
        <f t="shared" si="22"/>
        <v>11.6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17</v>
      </c>
      <c r="BF35" s="240" t="str">
        <f t="shared" ca="1" si="8"/>
        <v>Empire District Electric Company</v>
      </c>
      <c r="BG35" s="240" t="str">
        <f t="shared" ca="1" si="9"/>
        <v>BBB</v>
      </c>
      <c r="BH35" s="240">
        <f t="shared" ca="1" si="9"/>
        <v>14</v>
      </c>
      <c r="BI35" s="240" t="str">
        <f t="shared" ca="1" si="9"/>
        <v>EDE</v>
      </c>
    </row>
    <row r="36" spans="1:61" ht="13.8" x14ac:dyDescent="0.25">
      <c r="A36" s="303" t="s">
        <v>36</v>
      </c>
      <c r="B36" s="304" t="s">
        <v>28</v>
      </c>
      <c r="C36" s="304">
        <v>18</v>
      </c>
      <c r="D36" s="304" t="s">
        <v>296</v>
      </c>
      <c r="E36" s="305" t="str">
        <f t="shared" ca="1" si="0"/>
        <v>R</v>
      </c>
      <c r="F36" s="306"/>
      <c r="G36" s="307">
        <f t="shared" ca="1" si="1"/>
        <v>26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34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16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19</v>
      </c>
      <c r="BF36" s="240" t="str">
        <f t="shared" ca="1" si="8"/>
        <v>Entergy Corporation</v>
      </c>
      <c r="BG36" s="240" t="str">
        <f t="shared" ca="1" si="9"/>
        <v>BBB</v>
      </c>
      <c r="BH36" s="240">
        <f t="shared" ca="1" si="9"/>
        <v>14</v>
      </c>
      <c r="BI36" s="240" t="str">
        <f t="shared" ca="1" si="9"/>
        <v>ETR</v>
      </c>
    </row>
    <row r="37" spans="1:61" ht="13.8" x14ac:dyDescent="0.25">
      <c r="A37" s="303" t="s">
        <v>11</v>
      </c>
      <c r="B37" s="304" t="s">
        <v>28</v>
      </c>
      <c r="C37" s="304">
        <v>18</v>
      </c>
      <c r="D37" s="304" t="s">
        <v>297</v>
      </c>
      <c r="E37" s="305" t="str">
        <f t="shared" ca="1" si="0"/>
        <v>MR</v>
      </c>
      <c r="F37" s="306"/>
      <c r="G37" s="307">
        <f t="shared" ca="1" si="1"/>
        <v>27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35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13</v>
      </c>
      <c r="AT37" s="286" t="s">
        <v>310</v>
      </c>
      <c r="AV37" s="234">
        <f t="shared" si="21"/>
        <v>42</v>
      </c>
      <c r="AW37" s="234">
        <f>COUNTIF( AV$7:AV37, AV37 )</f>
        <v>6</v>
      </c>
      <c r="AX37" s="287">
        <f t="shared" si="22"/>
        <v>42.6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20</v>
      </c>
      <c r="BF37" s="240" t="str">
        <f t="shared" ca="1" si="8"/>
        <v>Exelon Corporation</v>
      </c>
      <c r="BG37" s="240" t="str">
        <f t="shared" ca="1" si="9"/>
        <v>BBB</v>
      </c>
      <c r="BH37" s="240">
        <f t="shared" ca="1" si="9"/>
        <v>14</v>
      </c>
      <c r="BI37" s="240" t="str">
        <f t="shared" ca="1" si="9"/>
        <v>EXC</v>
      </c>
    </row>
    <row r="38" spans="1:61" ht="13.8" x14ac:dyDescent="0.25">
      <c r="A38" s="303" t="s">
        <v>260</v>
      </c>
      <c r="B38" s="304" t="s">
        <v>28</v>
      </c>
      <c r="C38" s="304">
        <v>18</v>
      </c>
      <c r="D38" s="304" t="s">
        <v>300</v>
      </c>
      <c r="E38" s="305" t="str">
        <f t="shared" ca="1" si="0"/>
        <v>R</v>
      </c>
      <c r="F38" s="306"/>
      <c r="G38" s="307">
        <f t="shared" ca="1" si="1"/>
        <v>29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36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16</v>
      </c>
      <c r="AT38" s="289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22</v>
      </c>
      <c r="BF38" s="240" t="str">
        <f t="shared" ca="1" si="8"/>
        <v>Great Plains Energy Inc.</v>
      </c>
      <c r="BG38" s="240" t="str">
        <f t="shared" ca="1" si="9"/>
        <v>BBB</v>
      </c>
      <c r="BH38" s="240">
        <f t="shared" ca="1" si="9"/>
        <v>14</v>
      </c>
      <c r="BI38" s="240" t="str">
        <f t="shared" ca="1" si="9"/>
        <v>GXP</v>
      </c>
    </row>
    <row r="39" spans="1:61" ht="13.8" x14ac:dyDescent="0.25">
      <c r="A39" s="303" t="s">
        <v>451</v>
      </c>
      <c r="B39" s="304" t="s">
        <v>28</v>
      </c>
      <c r="C39" s="304">
        <v>18</v>
      </c>
      <c r="D39" s="304" t="s">
        <v>443</v>
      </c>
      <c r="E39" s="305" t="str">
        <f t="shared" ca="1" si="0"/>
        <v>R</v>
      </c>
      <c r="F39" s="306"/>
      <c r="G39" s="307">
        <f t="shared" ca="1" si="1"/>
        <v>63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33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14</v>
      </c>
      <c r="AT39" s="286" t="s">
        <v>314</v>
      </c>
      <c r="AV39" s="234">
        <f t="shared" si="21"/>
        <v>23</v>
      </c>
      <c r="AW39" s="234">
        <f>COUNTIF( AV$7:AV39, AV39 )</f>
        <v>13</v>
      </c>
      <c r="AX39" s="287">
        <f t="shared" si="22"/>
        <v>24.3</v>
      </c>
      <c r="AY39" s="234">
        <f t="shared" si="23"/>
        <v>35</v>
      </c>
      <c r="AZ39" s="236"/>
      <c r="BA39" s="236"/>
      <c r="BC39" s="234">
        <f t="shared" ca="1" si="24"/>
        <v>33</v>
      </c>
      <c r="BD39" s="288">
        <f t="shared" ca="1" si="7"/>
        <v>24</v>
      </c>
      <c r="BF39" s="240" t="str">
        <f t="shared" ref="BF39:BF63" ca="1" si="25">OFFSET( AQ$6, $BD39, 0 )</f>
        <v>Iberdrola USA</v>
      </c>
      <c r="BG39" s="240" t="str">
        <f t="shared" ca="1" si="9"/>
        <v>BBB</v>
      </c>
      <c r="BH39" s="240">
        <f t="shared" ca="1" si="9"/>
        <v>14</v>
      </c>
      <c r="BI39" s="240" t="str">
        <f t="shared" ca="1" si="9"/>
        <v>**EAST</v>
      </c>
    </row>
    <row r="40" spans="1:61" ht="13.8" x14ac:dyDescent="0.25">
      <c r="A40" s="303" t="s">
        <v>20</v>
      </c>
      <c r="B40" s="304" t="s">
        <v>28</v>
      </c>
      <c r="C40" s="304">
        <v>18</v>
      </c>
      <c r="D40" s="304" t="s">
        <v>302</v>
      </c>
      <c r="E40" s="305" t="str">
        <f t="shared" ca="1" si="0"/>
        <v>R</v>
      </c>
      <c r="F40" s="306"/>
      <c r="G40" s="307">
        <f t="shared" ca="1" si="1"/>
        <v>31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37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49</v>
      </c>
      <c r="AS40" s="286">
        <v>13</v>
      </c>
      <c r="AT40" s="286" t="s">
        <v>313</v>
      </c>
      <c r="AV40" s="234">
        <f t="shared" si="21"/>
        <v>42</v>
      </c>
      <c r="AW40" s="234">
        <f>COUNTIF( AV$7:AV40, AV40 )</f>
        <v>7</v>
      </c>
      <c r="AX40" s="287">
        <f t="shared" si="22"/>
        <v>42.7</v>
      </c>
      <c r="AY40" s="234">
        <f t="shared" si="23"/>
        <v>48</v>
      </c>
      <c r="AZ40" s="236"/>
      <c r="BA40" s="236"/>
      <c r="BC40" s="234">
        <f t="shared" ca="1" si="24"/>
        <v>34</v>
      </c>
      <c r="BD40" s="288">
        <f t="shared" ca="1" si="7"/>
        <v>25</v>
      </c>
      <c r="BF40" s="240" t="str">
        <f t="shared" ca="1" si="25"/>
        <v>IDACORP, Inc.</v>
      </c>
      <c r="BG40" s="240" t="str">
        <f t="shared" ca="1" si="9"/>
        <v>BBB</v>
      </c>
      <c r="BH40" s="240">
        <f t="shared" ca="1" si="9"/>
        <v>14</v>
      </c>
      <c r="BI40" s="240" t="str">
        <f t="shared" ca="1" si="9"/>
        <v>IDA</v>
      </c>
    </row>
    <row r="41" spans="1:61" ht="13.8" x14ac:dyDescent="0.25">
      <c r="A41" s="303" t="s">
        <v>66</v>
      </c>
      <c r="B41" s="304" t="s">
        <v>28</v>
      </c>
      <c r="C41" s="304">
        <v>18</v>
      </c>
      <c r="D41" s="304" t="s">
        <v>314</v>
      </c>
      <c r="E41" s="305" t="str">
        <f t="shared" ca="1" si="0"/>
        <v>R</v>
      </c>
      <c r="F41" s="306"/>
      <c r="G41" s="307">
        <f t="shared" ca="1" si="1"/>
        <v>38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38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15</v>
      </c>
      <c r="AT41" s="286" t="s">
        <v>315</v>
      </c>
      <c r="AV41" s="234">
        <f t="shared" si="21"/>
        <v>11</v>
      </c>
      <c r="AW41" s="234">
        <f>COUNTIF( AV$7:AV41, AV41 )</f>
        <v>7</v>
      </c>
      <c r="AX41" s="287">
        <f t="shared" si="22"/>
        <v>11.7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33</v>
      </c>
      <c r="BF41" s="240" t="str">
        <f t="shared" ca="1" si="25"/>
        <v>NorthWestern Corporation</v>
      </c>
      <c r="BG41" s="240" t="str">
        <f t="shared" ca="1" si="9"/>
        <v>BBB</v>
      </c>
      <c r="BH41" s="240">
        <f t="shared" ca="1" si="9"/>
        <v>14</v>
      </c>
      <c r="BI41" s="240" t="str">
        <f t="shared" ca="1" si="9"/>
        <v>NWE</v>
      </c>
    </row>
    <row r="42" spans="1:61" ht="13.8" x14ac:dyDescent="0.25">
      <c r="A42" s="303" t="s">
        <v>53</v>
      </c>
      <c r="B42" s="304" t="s">
        <v>28</v>
      </c>
      <c r="C42" s="304">
        <v>18</v>
      </c>
      <c r="D42" s="304" t="s">
        <v>317</v>
      </c>
      <c r="E42" s="305" t="str">
        <f t="shared" ca="1" si="0"/>
        <v>R</v>
      </c>
      <c r="F42" s="306"/>
      <c r="G42" s="307">
        <f t="shared" ca="1" si="1"/>
        <v>44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39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13</v>
      </c>
      <c r="AT42" s="286" t="s">
        <v>316</v>
      </c>
      <c r="AV42" s="234">
        <f t="shared" si="21"/>
        <v>42</v>
      </c>
      <c r="AW42" s="234">
        <f>COUNTIF( AV$7:AV42, AV42 )</f>
        <v>8</v>
      </c>
      <c r="AX42" s="287">
        <f t="shared" si="22"/>
        <v>42.8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38</v>
      </c>
      <c r="BF42" s="240" t="str">
        <f t="shared" ca="1" si="25"/>
        <v>PG&amp;E Corporation</v>
      </c>
      <c r="BG42" s="240" t="str">
        <f t="shared" ca="1" si="9"/>
        <v>BBB</v>
      </c>
      <c r="BH42" s="240">
        <f t="shared" ca="1" si="9"/>
        <v>14</v>
      </c>
      <c r="BI42" s="240" t="str">
        <f t="shared" ca="1" si="9"/>
        <v>PCG</v>
      </c>
    </row>
    <row r="43" spans="1:61" ht="13.8" x14ac:dyDescent="0.25">
      <c r="A43" s="303" t="s">
        <v>24</v>
      </c>
      <c r="B43" s="304" t="s">
        <v>28</v>
      </c>
      <c r="C43" s="304">
        <v>18</v>
      </c>
      <c r="D43" s="304" t="s">
        <v>323</v>
      </c>
      <c r="E43" s="305" t="str">
        <f t="shared" ca="1" si="0"/>
        <v>R</v>
      </c>
      <c r="F43" s="306"/>
      <c r="G43" s="307">
        <f t="shared" ca="1" si="1"/>
        <v>47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40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15</v>
      </c>
      <c r="AT43" s="286" t="s">
        <v>322</v>
      </c>
      <c r="AV43" s="234">
        <f t="shared" si="21"/>
        <v>11</v>
      </c>
      <c r="AW43" s="234">
        <f>COUNTIF( AV$7:AV43, AV43 )</f>
        <v>8</v>
      </c>
      <c r="AX43" s="287">
        <f t="shared" si="22"/>
        <v>11.8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41</v>
      </c>
      <c r="BF43" s="240" t="str">
        <f t="shared" ca="1" si="25"/>
        <v>Portland General Electric Company</v>
      </c>
      <c r="BG43" s="240" t="str">
        <f t="shared" ca="1" si="9"/>
        <v>BBB</v>
      </c>
      <c r="BH43" s="240">
        <f t="shared" ca="1" si="9"/>
        <v>14</v>
      </c>
      <c r="BI43" s="240" t="str">
        <f t="shared" ca="1" si="9"/>
        <v>POR</v>
      </c>
    </row>
    <row r="44" spans="1:61" ht="13.8" x14ac:dyDescent="0.25">
      <c r="A44" s="303" t="s">
        <v>43</v>
      </c>
      <c r="B44" s="304" t="s">
        <v>28</v>
      </c>
      <c r="C44" s="304">
        <v>18</v>
      </c>
      <c r="D44" s="304" t="s">
        <v>324</v>
      </c>
      <c r="E44" s="305" t="str">
        <f t="shared" ca="1" si="0"/>
        <v>MR</v>
      </c>
      <c r="F44" s="306"/>
      <c r="G44" s="307">
        <f t="shared" ca="1" si="1"/>
        <v>48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41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14</v>
      </c>
      <c r="AT44" s="286" t="s">
        <v>317</v>
      </c>
      <c r="AV44" s="234">
        <f t="shared" si="21"/>
        <v>23</v>
      </c>
      <c r="AW44" s="234">
        <f>COUNTIF( AV$7:AV44, AV44 )</f>
        <v>14</v>
      </c>
      <c r="AX44" s="287">
        <f t="shared" si="22"/>
        <v>24.4</v>
      </c>
      <c r="AY44" s="234">
        <f t="shared" si="23"/>
        <v>36</v>
      </c>
      <c r="AZ44" s="236"/>
      <c r="BA44" s="236"/>
      <c r="BC44" s="234">
        <f t="shared" ca="1" si="24"/>
        <v>38</v>
      </c>
      <c r="BD44" s="288">
        <f t="shared" ca="1" si="7"/>
        <v>42</v>
      </c>
      <c r="BF44" s="240" t="str">
        <f t="shared" ca="1" si="25"/>
        <v>PPL Corporation</v>
      </c>
      <c r="BG44" s="240" t="str">
        <f t="shared" ca="1" si="9"/>
        <v>BBB</v>
      </c>
      <c r="BH44" s="240">
        <f t="shared" ca="1" si="9"/>
        <v>14</v>
      </c>
      <c r="BI44" s="240" t="str">
        <f t="shared" ca="1" si="9"/>
        <v>PPL</v>
      </c>
    </row>
    <row r="45" spans="1:61" ht="13.8" x14ac:dyDescent="0.25">
      <c r="A45" s="303" t="s">
        <v>45</v>
      </c>
      <c r="B45" s="304" t="s">
        <v>28</v>
      </c>
      <c r="C45" s="304">
        <v>18</v>
      </c>
      <c r="D45" s="304" t="s">
        <v>318</v>
      </c>
      <c r="E45" s="305" t="str">
        <f t="shared" ca="1" si="0"/>
        <v>MR</v>
      </c>
      <c r="F45" s="306"/>
      <c r="G45" s="307">
        <f t="shared" ca="1" si="1"/>
        <v>50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42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16</v>
      </c>
      <c r="AS45" s="286">
        <v>15</v>
      </c>
      <c r="AT45" s="286" t="s">
        <v>321</v>
      </c>
      <c r="AV45" s="234">
        <f t="shared" si="21"/>
        <v>11</v>
      </c>
      <c r="AW45" s="234">
        <f>COUNTIF( AV$7:AV45, AV45 )</f>
        <v>9</v>
      </c>
      <c r="AX45" s="287">
        <f t="shared" si="22"/>
        <v>11.9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43</v>
      </c>
      <c r="BF45" s="240" t="str">
        <f t="shared" ca="1" si="25"/>
        <v>Public Service Enterprise Group Incorporated</v>
      </c>
      <c r="BG45" s="240" t="str">
        <f t="shared" ca="1" si="9"/>
        <v>BBB</v>
      </c>
      <c r="BH45" s="240">
        <f t="shared" ca="1" si="9"/>
        <v>14</v>
      </c>
      <c r="BI45" s="240" t="str">
        <f t="shared" ca="1" si="9"/>
        <v>PEG</v>
      </c>
    </row>
    <row r="46" spans="1:61" ht="13.8" x14ac:dyDescent="0.25">
      <c r="A46" s="303" t="s">
        <v>75</v>
      </c>
      <c r="B46" s="304" t="s">
        <v>28</v>
      </c>
      <c r="C46" s="304">
        <v>18</v>
      </c>
      <c r="D46" s="304" t="s">
        <v>331</v>
      </c>
      <c r="E46" s="305" t="str">
        <f t="shared" ca="1" si="0"/>
        <v>R</v>
      </c>
      <c r="F46" s="306"/>
      <c r="G46" s="307">
        <f t="shared" ca="1" si="1"/>
        <v>55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43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42</v>
      </c>
      <c r="AR46" s="286" t="s">
        <v>49</v>
      </c>
      <c r="AS46" s="286">
        <v>13</v>
      </c>
      <c r="AT46" s="286" t="s">
        <v>320</v>
      </c>
      <c r="AV46" s="234">
        <f t="shared" si="21"/>
        <v>42</v>
      </c>
      <c r="AW46" s="234">
        <f>COUNTIF( AV$7:AV46, AV46 )</f>
        <v>9</v>
      </c>
      <c r="AX46" s="287">
        <f t="shared" si="22"/>
        <v>42.9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49</v>
      </c>
      <c r="BF46" s="240" t="str">
        <f t="shared" ca="1" si="25"/>
        <v>UIL Holdings Corporation</v>
      </c>
      <c r="BG46" s="240" t="str">
        <f t="shared" ca="1" si="9"/>
        <v>BBB</v>
      </c>
      <c r="BH46" s="240">
        <f t="shared" ca="1" si="9"/>
        <v>14</v>
      </c>
      <c r="BI46" s="240" t="str">
        <f t="shared" ca="1" si="9"/>
        <v>UIL</v>
      </c>
    </row>
    <row r="47" spans="1:61" ht="13.8" x14ac:dyDescent="0.25">
      <c r="A47" s="303" t="s">
        <v>59</v>
      </c>
      <c r="B47" s="304" t="s">
        <v>28</v>
      </c>
      <c r="C47" s="304">
        <v>18</v>
      </c>
      <c r="D47" s="304" t="s">
        <v>336</v>
      </c>
      <c r="E47" s="305" t="str">
        <f t="shared" ca="1" si="0"/>
        <v>R</v>
      </c>
      <c r="F47" s="306"/>
      <c r="G47" s="307">
        <f t="shared" ca="1" si="1"/>
        <v>59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44</v>
      </c>
      <c r="AK47" s="236" t="str">
        <f t="shared" ca="1" si="20"/>
        <v>BBB</v>
      </c>
      <c r="AL47" s="236">
        <f t="shared" ca="1" si="20"/>
        <v>18</v>
      </c>
      <c r="AM47" s="236" t="str">
        <f t="shared" ca="1" si="5"/>
        <v/>
      </c>
      <c r="AQ47" s="286" t="s">
        <v>24</v>
      </c>
      <c r="AR47" s="286" t="s">
        <v>28</v>
      </c>
      <c r="AS47" s="286">
        <v>14</v>
      </c>
      <c r="AT47" s="286" t="s">
        <v>323</v>
      </c>
      <c r="AV47" s="234">
        <f t="shared" si="21"/>
        <v>23</v>
      </c>
      <c r="AW47" s="234">
        <f>COUNTIF( AV$7:AV47, AV47 )</f>
        <v>15</v>
      </c>
      <c r="AX47" s="287">
        <f t="shared" si="22"/>
        <v>24.5</v>
      </c>
      <c r="AY47" s="234">
        <f t="shared" si="23"/>
        <v>37</v>
      </c>
      <c r="AZ47" s="236"/>
      <c r="BA47" s="236"/>
      <c r="BC47" s="234">
        <f t="shared" ca="1" si="24"/>
        <v>41</v>
      </c>
      <c r="BD47" s="288">
        <f t="shared" ca="1" si="7"/>
        <v>51</v>
      </c>
      <c r="BF47" s="240" t="str">
        <f t="shared" ca="1" si="25"/>
        <v>Westar Energy, Inc.</v>
      </c>
      <c r="BG47" s="240" t="str">
        <f t="shared" ca="1" si="9"/>
        <v>BBB</v>
      </c>
      <c r="BH47" s="240">
        <f t="shared" ca="1" si="9"/>
        <v>14</v>
      </c>
      <c r="BI47" s="240" t="str">
        <f t="shared" ca="1" si="9"/>
        <v>WR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46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14</v>
      </c>
      <c r="AT48" s="286" t="s">
        <v>324</v>
      </c>
      <c r="AV48" s="234">
        <f t="shared" si="21"/>
        <v>23</v>
      </c>
      <c r="AW48" s="234">
        <f>COUNTIF( AV$7:AV48, AV48 )</f>
        <v>16</v>
      </c>
      <c r="AX48" s="287">
        <f t="shared" si="22"/>
        <v>24.6</v>
      </c>
      <c r="AY48" s="234">
        <f t="shared" si="23"/>
        <v>38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13</v>
      </c>
      <c r="BI48" s="240" t="str">
        <f t="shared" ca="1" si="9"/>
        <v>BKH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48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14</v>
      </c>
      <c r="AT49" s="286" t="s">
        <v>318</v>
      </c>
      <c r="AV49" s="234">
        <f t="shared" si="21"/>
        <v>23</v>
      </c>
      <c r="AW49" s="234">
        <f>COUNTIF( AV$7:AV49, AV49 )</f>
        <v>17</v>
      </c>
      <c r="AX49" s="287">
        <f t="shared" si="22"/>
        <v>24.7</v>
      </c>
      <c r="AY49" s="234">
        <f t="shared" si="23"/>
        <v>39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13</v>
      </c>
      <c r="BI49" s="240" t="str">
        <f t="shared" ca="1" si="9"/>
        <v>EIX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0"/>
        <v>MR</v>
      </c>
      <c r="F50" s="306"/>
      <c r="G50" s="307">
        <f t="shared" ca="1" si="1"/>
        <v>28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50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12</v>
      </c>
      <c r="AT50" s="286" t="s">
        <v>448</v>
      </c>
      <c r="AV50" s="234">
        <f t="shared" si="21"/>
        <v>51</v>
      </c>
      <c r="AW50" s="234">
        <f>COUNTIF( AV$7:AV50, AV50 )</f>
        <v>1</v>
      </c>
      <c r="AX50" s="287">
        <f t="shared" si="22"/>
        <v>51.1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25"/>
        <v>FirstEnergy Corp.</v>
      </c>
      <c r="BG50" s="240" t="str">
        <f t="shared" ca="1" si="9"/>
        <v>BBB-</v>
      </c>
      <c r="BH50" s="240">
        <f t="shared" ca="1" si="9"/>
        <v>13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0"/>
        <v>D</v>
      </c>
      <c r="F51" s="306"/>
      <c r="G51" s="307">
        <f t="shared" ca="1" si="1"/>
        <v>30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51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15</v>
      </c>
      <c r="AT51" s="286" t="s">
        <v>326</v>
      </c>
      <c r="AV51" s="234">
        <f t="shared" si="21"/>
        <v>11</v>
      </c>
      <c r="AW51" s="234">
        <f>COUNTIF( AV$7:AV51, AV51 )</f>
        <v>10</v>
      </c>
      <c r="AX51" s="287">
        <f t="shared" si="22"/>
        <v>12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25"/>
        <v>Hawaiian Electric Industries, Inc.</v>
      </c>
      <c r="BG51" s="240" t="str">
        <f t="shared" ca="1" si="9"/>
        <v>BBB-</v>
      </c>
      <c r="BH51" s="240">
        <f t="shared" ca="1" si="9"/>
        <v>13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0"/>
        <v>R</v>
      </c>
      <c r="F52" s="306"/>
      <c r="G52" s="307">
        <f t="shared" ca="1" si="1"/>
        <v>66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52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15</v>
      </c>
      <c r="AT52" s="286" t="s">
        <v>328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25"/>
        <v>IPALCO Enterprises, Inc.</v>
      </c>
      <c r="BG52" s="240" t="str">
        <f t="shared" ca="1" si="9"/>
        <v>BBB-</v>
      </c>
      <c r="BH52" s="240">
        <f t="shared" ca="1" si="9"/>
        <v>13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0"/>
        <v>MR</v>
      </c>
      <c r="F53" s="306"/>
      <c r="G53" s="307">
        <f t="shared" ca="1" si="1"/>
        <v>36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53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17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25"/>
        <v>NiSource Inc.</v>
      </c>
      <c r="BG53" s="240" t="str">
        <f t="shared" ca="1" si="9"/>
        <v>BBB-</v>
      </c>
      <c r="BH53" s="240">
        <f t="shared" ca="1" si="9"/>
        <v>13</v>
      </c>
      <c r="BI53" s="240" t="str">
        <f t="shared" ca="1" si="9"/>
        <v>NI</v>
      </c>
    </row>
    <row r="54" spans="1:61" ht="13.8" x14ac:dyDescent="0.25">
      <c r="A54" s="303" t="s">
        <v>265</v>
      </c>
      <c r="B54" s="304" t="s">
        <v>49</v>
      </c>
      <c r="C54" s="304">
        <v>17</v>
      </c>
      <c r="D54" s="304" t="s">
        <v>313</v>
      </c>
      <c r="E54" s="305" t="str">
        <f t="shared" ca="1" si="0"/>
        <v>R</v>
      </c>
      <c r="F54" s="306"/>
      <c r="G54" s="307">
        <f t="shared" ca="1" si="1"/>
        <v>40</v>
      </c>
      <c r="H54" s="250"/>
      <c r="I54" s="250"/>
      <c r="J54" s="262"/>
      <c r="K54" s="262"/>
      <c r="AF54" s="236">
        <f t="shared" si="2"/>
        <v>1</v>
      </c>
      <c r="AG54" s="236">
        <f t="shared" ca="1" si="3"/>
        <v>1</v>
      </c>
      <c r="AH54" s="236" t="str">
        <f t="shared" ca="1" si="19"/>
        <v/>
      </c>
      <c r="AJ54" s="236">
        <f t="shared" ca="1" si="4"/>
        <v>56</v>
      </c>
      <c r="AK54" s="236" t="str">
        <f t="shared" ca="1" si="20"/>
        <v>BB+</v>
      </c>
      <c r="AL54" s="236">
        <f t="shared" ca="1" si="20"/>
        <v>16</v>
      </c>
      <c r="AM54" s="236" t="str">
        <f t="shared" ca="1" si="5"/>
        <v>Change</v>
      </c>
      <c r="AQ54" s="286" t="s">
        <v>62</v>
      </c>
      <c r="AR54" s="286" t="s">
        <v>16</v>
      </c>
      <c r="AS54" s="286">
        <v>15</v>
      </c>
      <c r="AT54" s="286" t="s">
        <v>329</v>
      </c>
      <c r="AV54" s="234">
        <f t="shared" si="21"/>
        <v>11</v>
      </c>
      <c r="AW54" s="234">
        <f>COUNTIF( AV$7:AV54, AV54 )</f>
        <v>12</v>
      </c>
      <c r="AX54" s="287">
        <f t="shared" si="22"/>
        <v>12.2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34</v>
      </c>
      <c r="BF54" s="240" t="str">
        <f t="shared" ca="1" si="25"/>
        <v>NV Energy, Inc.</v>
      </c>
      <c r="BG54" s="240" t="str">
        <f t="shared" ca="1" si="9"/>
        <v>BBB-</v>
      </c>
      <c r="BH54" s="240">
        <f t="shared" ca="1" si="9"/>
        <v>13</v>
      </c>
      <c r="BI54" s="240" t="str">
        <f t="shared" ca="1" si="9"/>
        <v>NVE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54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14</v>
      </c>
      <c r="AT55" s="286" t="s">
        <v>331</v>
      </c>
      <c r="AV55" s="234">
        <f t="shared" si="21"/>
        <v>23</v>
      </c>
      <c r="AW55" s="234">
        <f>COUNTIF( AV$7:AV55, AV55 )</f>
        <v>18</v>
      </c>
      <c r="AX55" s="287">
        <f t="shared" si="22"/>
        <v>24.8</v>
      </c>
      <c r="AY55" s="234">
        <f t="shared" si="23"/>
        <v>40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13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55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16</v>
      </c>
      <c r="AT56" s="286" t="s">
        <v>334</v>
      </c>
      <c r="AV56" s="234">
        <f t="shared" si="21"/>
        <v>2</v>
      </c>
      <c r="AW56" s="234">
        <f>COUNTIF( AV$7:AV56, AV56 )</f>
        <v>7</v>
      </c>
      <c r="AX56" s="287">
        <f t="shared" si="22"/>
        <v>2.7</v>
      </c>
      <c r="AY56" s="234">
        <f t="shared" si="23"/>
        <v>8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13</v>
      </c>
      <c r="BI56" s="240" t="str">
        <f t="shared" ca="1" si="9"/>
        <v>PNM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0"/>
        <v>R</v>
      </c>
      <c r="F57" s="306"/>
      <c r="G57" s="307">
        <f t="shared" ca="1" si="1"/>
        <v>68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57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14</v>
      </c>
      <c r="AT57" s="286" t="s">
        <v>336</v>
      </c>
      <c r="AV57" s="234">
        <f t="shared" si="21"/>
        <v>23</v>
      </c>
      <c r="AW57" s="234">
        <f>COUNTIF( AV$7:AV57, AV57 )</f>
        <v>19</v>
      </c>
      <c r="AX57" s="287">
        <f t="shared" si="22"/>
        <v>24.9</v>
      </c>
      <c r="AY57" s="234">
        <f t="shared" si="23"/>
        <v>41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25"/>
        <v>Puget Energy, Inc.</v>
      </c>
      <c r="BG57" s="240" t="str">
        <f t="shared" ca="1" si="9"/>
        <v>BB+</v>
      </c>
      <c r="BH57" s="240">
        <f t="shared" ca="1" si="9"/>
        <v>12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0"/>
        <v>R</v>
      </c>
      <c r="F58" s="306"/>
      <c r="G58" s="307">
        <f t="shared" ca="1" si="1"/>
        <v>64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</v>
      </c>
      <c r="AL58" s="236">
        <f t="shared" ca="1" si="20"/>
        <v>15</v>
      </c>
      <c r="AM58" s="236" t="str">
        <f t="shared" ca="1" si="5"/>
        <v/>
      </c>
      <c r="AQ58" s="286" t="s">
        <v>26</v>
      </c>
      <c r="AR58" s="286" t="s">
        <v>10</v>
      </c>
      <c r="AS58" s="286">
        <v>16</v>
      </c>
      <c r="AT58" s="286" t="s">
        <v>335</v>
      </c>
      <c r="AV58" s="234">
        <f t="shared" si="21"/>
        <v>2</v>
      </c>
      <c r="AW58" s="234">
        <f>COUNTIF( AV$7:AV58, AV58 )</f>
        <v>8</v>
      </c>
      <c r="AX58" s="287">
        <f t="shared" si="22"/>
        <v>2.8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25"/>
        <v>DPL Inc.</v>
      </c>
      <c r="BG58" s="240" t="str">
        <f t="shared" ca="1" si="9"/>
        <v>BB</v>
      </c>
      <c r="BH58" s="240">
        <f t="shared" ca="1" si="9"/>
        <v>11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0</v>
      </c>
      <c r="AG59" s="236">
        <f t="shared" ca="1" si="3"/>
        <v>1</v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SD</v>
      </c>
      <c r="AL59" s="236">
        <f t="shared" ca="1" si="20"/>
        <v>2</v>
      </c>
      <c r="AM59" s="236" t="str">
        <f t="shared" ca="1" si="5"/>
        <v>Change</v>
      </c>
      <c r="AQ59" s="286" t="s">
        <v>257</v>
      </c>
      <c r="AR59" s="286" t="s">
        <v>10</v>
      </c>
      <c r="AS59" s="286">
        <v>16</v>
      </c>
      <c r="AT59" s="286" t="s">
        <v>337</v>
      </c>
      <c r="AV59" s="234">
        <f t="shared" si="21"/>
        <v>2</v>
      </c>
      <c r="AW59" s="234">
        <f>COUNTIF( AV$7:AV59, AV59 )</f>
        <v>9</v>
      </c>
      <c r="AX59" s="287">
        <f t="shared" si="22"/>
        <v>2.9</v>
      </c>
      <c r="AY59" s="234">
        <f t="shared" si="23"/>
        <v>10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5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476</v>
      </c>
      <c r="B65" s="313" t="s">
        <v>73</v>
      </c>
      <c r="C65" s="304" t="s">
        <v>73</v>
      </c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>Change</v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74</v>
      </c>
      <c r="AR66" s="286" t="s">
        <v>108</v>
      </c>
      <c r="AS66" s="286">
        <v>19</v>
      </c>
      <c r="AT66" s="286" t="s">
        <v>439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1</v>
      </c>
      <c r="AR67" s="286" t="s">
        <v>2</v>
      </c>
      <c r="AS67" s="286">
        <v>17</v>
      </c>
      <c r="AT67" s="286" t="s">
        <v>440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18.285714285714285</v>
      </c>
      <c r="D68" s="276"/>
      <c r="E68" s="276"/>
      <c r="F68" s="250"/>
      <c r="H68" s="250"/>
      <c r="I68" s="250"/>
      <c r="J68" s="253"/>
      <c r="K68" s="253"/>
      <c r="AQ68" s="286" t="s">
        <v>427</v>
      </c>
      <c r="AR68" s="286" t="s">
        <v>56</v>
      </c>
      <c r="AS68" s="286">
        <v>12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34" t="s">
        <v>76</v>
      </c>
      <c r="AR69" s="234" t="s">
        <v>73</v>
      </c>
      <c r="AS69" s="234" t="s">
        <v>73</v>
      </c>
      <c r="AT69" s="234" t="s">
        <v>447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18.392857142857142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11"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Q4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'Credit_2012Q3'!a:a</v>
      </c>
      <c r="AK2" s="240" t="str">
        <f>AK4 &amp; AK3</f>
        <v>'Credit_2012Q3'!b1</v>
      </c>
      <c r="AL2" s="240" t="str">
        <f>AL4 &amp; AL3</f>
        <v>'Credit_2012Q3'!c1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471</v>
      </c>
      <c r="AK4" s="236" t="str">
        <f>AJ4</f>
        <v>'Credit_2012Q3'!</v>
      </c>
      <c r="AL4" s="236" t="str">
        <f>AK4</f>
        <v>'Credit_2012Q3'!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(56)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(3)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407</v>
      </c>
      <c r="C6" s="338" t="s">
        <v>470</v>
      </c>
      <c r="D6" s="301"/>
      <c r="E6" s="302">
        <v>40908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38" ca="1" si="0">OFFSET( INDIRECT( E$3 &amp; E$4 ), $G7 - 1, 0 )</f>
        <v>R</v>
      </c>
      <c r="F7" s="306"/>
      <c r="G7" s="307">
        <f t="shared" ref="G7:G38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38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38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38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0.19642857142857142</v>
      </c>
      <c r="N12" s="318"/>
      <c r="O12" s="295">
        <f t="shared" ca="1" si="12"/>
        <v>6</v>
      </c>
      <c r="P12" s="296">
        <f t="shared" ca="1" si="13"/>
        <v>0.16666666666666666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8.9285714285714288E-2</v>
      </c>
      <c r="N13" s="319"/>
      <c r="O13" s="297">
        <f t="shared" ca="1" si="12"/>
        <v>4</v>
      </c>
      <c r="P13" s="298">
        <f t="shared" ca="1" si="13"/>
        <v>0.1111111111111111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18.303571428571427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18.071428571428573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18.222222222222221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18.705882352941178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12.666666666666666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16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17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18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61</v>
      </c>
      <c r="AS18" s="286">
        <v>15</v>
      </c>
      <c r="AT18" s="286" t="s">
        <v>442</v>
      </c>
      <c r="AV18" s="234">
        <f t="shared" si="21"/>
        <v>52</v>
      </c>
      <c r="AW18" s="234">
        <f>COUNTIF( AV$7:AV18, AV18 )</f>
        <v>1</v>
      </c>
      <c r="AX18" s="287">
        <f t="shared" si="22"/>
        <v>52.1</v>
      </c>
      <c r="AY18" s="234">
        <f t="shared" si="23"/>
        <v>52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19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12</v>
      </c>
      <c r="B21" s="304" t="s">
        <v>16</v>
      </c>
      <c r="C21" s="304">
        <v>19</v>
      </c>
      <c r="D21" s="304" t="s">
        <v>308</v>
      </c>
      <c r="E21" s="305" t="str">
        <f t="shared" ca="1" si="0"/>
        <v>D</v>
      </c>
      <c r="F21" s="306"/>
      <c r="G21" s="307">
        <f t="shared" ca="1" si="1"/>
        <v>33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22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4</v>
      </c>
      <c r="AX21" s="287">
        <f t="shared" si="22"/>
        <v>39.4</v>
      </c>
      <c r="AY21" s="234">
        <f t="shared" si="23"/>
        <v>42</v>
      </c>
      <c r="AZ21" s="236"/>
      <c r="BA21" s="236"/>
      <c r="BC21" s="234">
        <f t="shared" ca="1" si="24"/>
        <v>15</v>
      </c>
      <c r="BD21" s="288">
        <f t="shared" ca="1" si="7"/>
        <v>28</v>
      </c>
      <c r="BF21" s="240" t="str">
        <f t="shared" ca="1" si="8"/>
        <v>MDU Resources Group, Inc.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MDU</v>
      </c>
    </row>
    <row r="22" spans="1:61" ht="13.8" x14ac:dyDescent="0.25">
      <c r="A22" s="303" t="s">
        <v>52</v>
      </c>
      <c r="B22" s="304" t="s">
        <v>16</v>
      </c>
      <c r="C22" s="304">
        <v>19</v>
      </c>
      <c r="D22" s="304" t="s">
        <v>446</v>
      </c>
      <c r="E22" s="305" t="str">
        <f t="shared" ca="1" si="0"/>
        <v>MR</v>
      </c>
      <c r="F22" s="306"/>
      <c r="G22" s="307">
        <f t="shared" ca="1" si="1"/>
        <v>67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23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29</v>
      </c>
      <c r="BF22" s="240" t="str">
        <f t="shared" ca="1" si="8"/>
        <v>MidAmerican Energy Holdings Company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**BRK</v>
      </c>
    </row>
    <row r="23" spans="1:61" ht="13.8" x14ac:dyDescent="0.25">
      <c r="A23" s="303" t="s">
        <v>21</v>
      </c>
      <c r="B23" s="304" t="s">
        <v>16</v>
      </c>
      <c r="C23" s="304">
        <v>19</v>
      </c>
      <c r="D23" s="304" t="s">
        <v>315</v>
      </c>
      <c r="E23" s="305" t="str">
        <f t="shared" ca="1" si="0"/>
        <v>MR</v>
      </c>
      <c r="F23" s="306"/>
      <c r="G23" s="307">
        <f t="shared" ca="1" si="1"/>
        <v>41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24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5</v>
      </c>
      <c r="AX23" s="287">
        <f t="shared" si="22"/>
        <v>39.5</v>
      </c>
      <c r="AY23" s="234">
        <f t="shared" si="23"/>
        <v>43</v>
      </c>
      <c r="AZ23" s="236"/>
      <c r="BA23" s="236"/>
      <c r="BC23" s="234">
        <f t="shared" ca="1" si="24"/>
        <v>17</v>
      </c>
      <c r="BD23" s="288">
        <f t="shared" ca="1" si="7"/>
        <v>35</v>
      </c>
      <c r="BF23" s="240" t="str">
        <f t="shared" ca="1" si="8"/>
        <v>OGE Energy Corp.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OGE</v>
      </c>
    </row>
    <row r="24" spans="1:61" ht="13.8" x14ac:dyDescent="0.25">
      <c r="A24" s="303" t="s">
        <v>23</v>
      </c>
      <c r="B24" s="304" t="s">
        <v>16</v>
      </c>
      <c r="C24" s="304">
        <v>19</v>
      </c>
      <c r="D24" s="304" t="s">
        <v>322</v>
      </c>
      <c r="E24" s="305" t="str">
        <f t="shared" ca="1" si="0"/>
        <v>MR</v>
      </c>
      <c r="F24" s="306"/>
      <c r="G24" s="307">
        <f t="shared" ca="1" si="1"/>
        <v>43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422</v>
      </c>
      <c r="AS24" s="286">
        <v>2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37</v>
      </c>
      <c r="BF24" s="240" t="str">
        <f t="shared" ca="1" si="8"/>
        <v>Pepco Holdings, Inc.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POM</v>
      </c>
    </row>
    <row r="25" spans="1:61" ht="13.8" x14ac:dyDescent="0.25">
      <c r="A25" s="303" t="s">
        <v>41</v>
      </c>
      <c r="B25" s="304" t="s">
        <v>16</v>
      </c>
      <c r="C25" s="304">
        <v>19</v>
      </c>
      <c r="D25" s="304" t="s">
        <v>321</v>
      </c>
      <c r="E25" s="305" t="str">
        <f t="shared" ca="1" si="0"/>
        <v>R</v>
      </c>
      <c r="F25" s="306"/>
      <c r="G25" s="307">
        <f t="shared" ca="1" si="1"/>
        <v>45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>
        <f t="shared" ca="1" si="3"/>
        <v>1</v>
      </c>
      <c r="AH25" s="236" t="str">
        <f t="shared" ca="1" si="19"/>
        <v/>
      </c>
      <c r="AJ25" s="236">
        <f t="shared" ca="1" si="4"/>
        <v>39</v>
      </c>
      <c r="AK25" s="236" t="str">
        <f t="shared" ca="1" si="20"/>
        <v>BBB</v>
      </c>
      <c r="AL25" s="236">
        <f t="shared" ca="1" si="20"/>
        <v>18</v>
      </c>
      <c r="AM25" s="236" t="str">
        <f t="shared" ca="1" si="5"/>
        <v>Change</v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39</v>
      </c>
      <c r="BF25" s="240" t="str">
        <f t="shared" ca="1" si="8"/>
        <v>Pinnacle West Capital Corporation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PNW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6</v>
      </c>
      <c r="AX27" s="287">
        <f t="shared" si="22"/>
        <v>39.6</v>
      </c>
      <c r="AY27" s="234">
        <f t="shared" si="23"/>
        <v>44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7</v>
      </c>
      <c r="AX29" s="287">
        <f t="shared" si="22"/>
        <v>39.700000000000003</v>
      </c>
      <c r="AY29" s="234">
        <f t="shared" si="23"/>
        <v>45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28</v>
      </c>
      <c r="AS30" s="286">
        <v>18</v>
      </c>
      <c r="AT30" s="286" t="s">
        <v>443</v>
      </c>
      <c r="AV30" s="234">
        <f t="shared" si="21"/>
        <v>23</v>
      </c>
      <c r="AW30" s="234">
        <f>COUNTIF( AV$7:AV30, AV30 )</f>
        <v>8</v>
      </c>
      <c r="AX30" s="287">
        <f t="shared" si="22"/>
        <v>23.8</v>
      </c>
      <c r="AY30" s="234">
        <f t="shared" si="23"/>
        <v>30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9</v>
      </c>
      <c r="AX31" s="287">
        <f t="shared" si="22"/>
        <v>23.9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451</v>
      </c>
      <c r="B33" s="304" t="s">
        <v>28</v>
      </c>
      <c r="C33" s="304">
        <v>18</v>
      </c>
      <c r="D33" s="304" t="s">
        <v>443</v>
      </c>
      <c r="E33" s="305" t="str">
        <f t="shared" ca="1" si="0"/>
        <v>R</v>
      </c>
      <c r="F33" s="306"/>
      <c r="G33" s="307">
        <f t="shared" ca="1" si="1"/>
        <v>63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>
        <f t="shared" ca="1" si="19"/>
        <v>1</v>
      </c>
      <c r="AJ33" s="236">
        <f t="shared" ca="1" si="4"/>
        <v>21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5"/>
        <v>Change</v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8</v>
      </c>
      <c r="AX33" s="287">
        <f t="shared" si="22"/>
        <v>39.799999999999997</v>
      </c>
      <c r="AY33" s="234">
        <f t="shared" si="23"/>
        <v>46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33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6</v>
      </c>
      <c r="AX34" s="287">
        <f t="shared" si="22"/>
        <v>10.6</v>
      </c>
      <c r="AY34" s="234">
        <f t="shared" si="23"/>
        <v>15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34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7</v>
      </c>
      <c r="AX35" s="287">
        <f t="shared" si="22"/>
        <v>10.7</v>
      </c>
      <c r="AY35" s="234">
        <f t="shared" si="23"/>
        <v>16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35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24</v>
      </c>
      <c r="BF36" s="240" t="str">
        <f t="shared" ca="1" si="8"/>
        <v>Iberdrola USA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**EAST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36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9</v>
      </c>
      <c r="AX37" s="287">
        <f t="shared" si="22"/>
        <v>39.9</v>
      </c>
      <c r="AY37" s="234">
        <f t="shared" si="23"/>
        <v>47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37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ref="E39:E59" ca="1" si="25">OFFSET( INDIRECT( E$3 &amp; E$4 ), $G39 - 1, 0 )</f>
        <v>R</v>
      </c>
      <c r="F39" s="306"/>
      <c r="G39" s="307">
        <f t="shared" ref="G39:G65" ca="1" si="26">IF( LEN( $D39 ) = 0, "", MATCH( $D39, INDIRECT( G$3 &amp; G$4 ), 0 ) )</f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ref="AF39:AF67" si="27">IF( LEN( C39 ) = 0, 0, IF( C39 = C38, AF38, IF( AF38 = 1, 0, 1 ) ) )</f>
        <v>0</v>
      </c>
      <c r="AG39" s="236" t="str">
        <f t="shared" ca="1" si="3"/>
        <v/>
      </c>
      <c r="AH39" s="236" t="str">
        <f t="shared" ca="1" si="19"/>
        <v/>
      </c>
      <c r="AJ39" s="236">
        <f t="shared" ref="AJ39:AJ67" ca="1" si="28">MATCH( $A39, INDIRECT( AJ$2 ), 0 )</f>
        <v>38</v>
      </c>
      <c r="AK39" s="236" t="str">
        <f t="shared" ca="1" si="20"/>
        <v>BBB</v>
      </c>
      <c r="AL39" s="236">
        <f t="shared" ca="1" si="20"/>
        <v>18</v>
      </c>
      <c r="AM39" s="236" t="str">
        <f t="shared" ref="AM39:AM67" ca="1" si="29">IF( B39 = AK39, "", "Change" )</f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10</v>
      </c>
      <c r="AX39" s="287">
        <f t="shared" si="22"/>
        <v>24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30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25"/>
        <v>R</v>
      </c>
      <c r="F40" s="306"/>
      <c r="G40" s="307">
        <f t="shared" ca="1" si="26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7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28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29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50</v>
      </c>
      <c r="AW40" s="234">
        <f>COUNTIF( AV$7:AV40, AV40 )</f>
        <v>1</v>
      </c>
      <c r="AX40" s="287">
        <f t="shared" si="22"/>
        <v>50.1</v>
      </c>
      <c r="AY40" s="234">
        <f t="shared" si="23"/>
        <v>50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30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25"/>
        <v>MR</v>
      </c>
      <c r="F41" s="306"/>
      <c r="G41" s="307">
        <f t="shared" ca="1" si="26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7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28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29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8</v>
      </c>
      <c r="AX41" s="287">
        <f t="shared" si="22"/>
        <v>10.8</v>
      </c>
      <c r="AY41" s="234">
        <f t="shared" si="23"/>
        <v>17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30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25"/>
        <v>MR</v>
      </c>
      <c r="F42" s="306"/>
      <c r="G42" s="307">
        <f t="shared" ca="1" si="26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7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28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29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10</v>
      </c>
      <c r="AX42" s="287">
        <f t="shared" si="22"/>
        <v>40</v>
      </c>
      <c r="AY42" s="234">
        <f t="shared" si="23"/>
        <v>48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30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25"/>
        <v>R</v>
      </c>
      <c r="F43" s="306"/>
      <c r="G43" s="307">
        <f t="shared" ca="1" si="26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7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28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29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9</v>
      </c>
      <c r="AX43" s="287">
        <f t="shared" si="22"/>
        <v>10.9</v>
      </c>
      <c r="AY43" s="234">
        <f t="shared" si="23"/>
        <v>18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30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25"/>
        <v>R</v>
      </c>
      <c r="F44" s="306"/>
      <c r="G44" s="307">
        <f t="shared" ca="1" si="26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7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28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29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11</v>
      </c>
      <c r="AX44" s="287">
        <f t="shared" si="22"/>
        <v>24.1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30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25"/>
        <v>R</v>
      </c>
      <c r="F45" s="306"/>
      <c r="G45" s="307">
        <f t="shared" ca="1" si="26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7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28"/>
        <v>45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29"/>
        <v/>
      </c>
      <c r="AQ45" s="286" t="s">
        <v>41</v>
      </c>
      <c r="AR45" s="286" t="s">
        <v>16</v>
      </c>
      <c r="AS45" s="286">
        <v>19</v>
      </c>
      <c r="AT45" s="286" t="s">
        <v>321</v>
      </c>
      <c r="AV45" s="234">
        <f t="shared" si="21"/>
        <v>10</v>
      </c>
      <c r="AW45" s="234">
        <f>COUNTIF( AV$7:AV45, AV45 )</f>
        <v>10</v>
      </c>
      <c r="AX45" s="287">
        <f t="shared" si="22"/>
        <v>11</v>
      </c>
      <c r="AY45" s="234">
        <f t="shared" si="23"/>
        <v>19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30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25"/>
        <v>MR</v>
      </c>
      <c r="F46" s="306"/>
      <c r="G46" s="307">
        <f t="shared" ca="1" si="26"/>
        <v>12</v>
      </c>
      <c r="H46" s="250"/>
      <c r="I46" s="262"/>
      <c r="K46" s="262"/>
      <c r="N46" s="257"/>
      <c r="W46" s="262"/>
      <c r="AF46" s="236">
        <f t="shared" si="27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28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29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11</v>
      </c>
      <c r="AX46" s="287">
        <f t="shared" si="22"/>
        <v>40.1</v>
      </c>
      <c r="AY46" s="234">
        <f t="shared" si="23"/>
        <v>49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30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25"/>
        <v>R</v>
      </c>
      <c r="F47" s="306"/>
      <c r="G47" s="307">
        <f t="shared" ca="1" si="26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7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28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29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30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57</v>
      </c>
      <c r="B48" s="304" t="s">
        <v>49</v>
      </c>
      <c r="C48" s="304">
        <v>17</v>
      </c>
      <c r="D48" s="304" t="s">
        <v>295</v>
      </c>
      <c r="E48" s="305" t="str">
        <f t="shared" ca="1" si="25"/>
        <v>R</v>
      </c>
      <c r="F48" s="306"/>
      <c r="G48" s="307">
        <f t="shared" ca="1" si="26"/>
        <v>23</v>
      </c>
      <c r="H48" s="250"/>
      <c r="I48" s="250"/>
      <c r="K48" s="262"/>
      <c r="M48" s="253"/>
      <c r="N48" s="253"/>
      <c r="AF48" s="236">
        <f t="shared" si="27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28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29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15</v>
      </c>
      <c r="BF48" s="240" t="str">
        <f t="shared" ca="1" si="30"/>
        <v>Edison International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EIX</v>
      </c>
    </row>
    <row r="49" spans="1:61" ht="13.8" x14ac:dyDescent="0.25">
      <c r="A49" s="303" t="s">
        <v>35</v>
      </c>
      <c r="B49" s="304" t="s">
        <v>49</v>
      </c>
      <c r="C49" s="304">
        <v>17</v>
      </c>
      <c r="D49" s="304" t="s">
        <v>292</v>
      </c>
      <c r="E49" s="305" t="str">
        <f t="shared" ca="1" si="25"/>
        <v>R</v>
      </c>
      <c r="F49" s="306"/>
      <c r="G49" s="307">
        <f t="shared" ca="1" si="26"/>
        <v>25</v>
      </c>
      <c r="H49" s="250"/>
      <c r="I49" s="250"/>
      <c r="J49" s="262"/>
      <c r="K49" s="262"/>
      <c r="M49" s="253"/>
      <c r="N49" s="253"/>
      <c r="AF49" s="236">
        <f t="shared" si="27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28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29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17</v>
      </c>
      <c r="BF49" s="240" t="str">
        <f t="shared" ca="1" si="30"/>
        <v>Empire District Electric Company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EDE</v>
      </c>
    </row>
    <row r="50" spans="1:61" ht="13.8" x14ac:dyDescent="0.25">
      <c r="A50" s="303" t="s">
        <v>51</v>
      </c>
      <c r="B50" s="304" t="s">
        <v>49</v>
      </c>
      <c r="C50" s="304">
        <v>17</v>
      </c>
      <c r="D50" s="304" t="s">
        <v>298</v>
      </c>
      <c r="E50" s="305" t="str">
        <f t="shared" ca="1" si="25"/>
        <v>MR</v>
      </c>
      <c r="F50" s="306"/>
      <c r="G50" s="307">
        <f t="shared" ca="1" si="26"/>
        <v>28</v>
      </c>
      <c r="H50" s="250"/>
      <c r="I50" s="250"/>
      <c r="J50" s="262"/>
      <c r="K50" s="262"/>
      <c r="L50" s="235"/>
      <c r="M50" s="257"/>
      <c r="N50" s="257"/>
      <c r="AF50" s="236">
        <f t="shared" si="27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28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29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50</v>
      </c>
      <c r="AW50" s="234">
        <f>COUNTIF( AV$7:AV50, AV50 )</f>
        <v>2</v>
      </c>
      <c r="AX50" s="287">
        <f t="shared" si="22"/>
        <v>50.2</v>
      </c>
      <c r="AY50" s="234">
        <f t="shared" si="23"/>
        <v>51</v>
      </c>
      <c r="AZ50" s="236"/>
      <c r="BA50" s="236"/>
      <c r="BC50" s="234">
        <f t="shared" ca="1" si="24"/>
        <v>44</v>
      </c>
      <c r="BD50" s="288">
        <f t="shared" ca="1" si="7"/>
        <v>21</v>
      </c>
      <c r="BF50" s="240" t="str">
        <f t="shared" ca="1" si="30"/>
        <v>FirstEnergy Corp.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FE</v>
      </c>
    </row>
    <row r="51" spans="1:61" ht="13.8" x14ac:dyDescent="0.25">
      <c r="A51" s="303" t="s">
        <v>39</v>
      </c>
      <c r="B51" s="304" t="s">
        <v>49</v>
      </c>
      <c r="C51" s="304">
        <v>17</v>
      </c>
      <c r="D51" s="304" t="s">
        <v>301</v>
      </c>
      <c r="E51" s="305" t="str">
        <f t="shared" ca="1" si="25"/>
        <v>D</v>
      </c>
      <c r="F51" s="306"/>
      <c r="G51" s="307">
        <f t="shared" ca="1" si="26"/>
        <v>30</v>
      </c>
      <c r="H51" s="250"/>
      <c r="I51" s="250"/>
      <c r="J51" s="262"/>
      <c r="K51" s="262"/>
      <c r="L51" s="235"/>
      <c r="M51" s="257"/>
      <c r="N51" s="257"/>
      <c r="AF51" s="236">
        <f t="shared" si="27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28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29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23</v>
      </c>
      <c r="BF51" s="240" t="str">
        <f t="shared" ca="1" si="30"/>
        <v>Hawaiian Electric Industries, Inc.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HE</v>
      </c>
    </row>
    <row r="52" spans="1:61" ht="13.8" x14ac:dyDescent="0.25">
      <c r="A52" s="303" t="s">
        <v>58</v>
      </c>
      <c r="B52" s="304" t="s">
        <v>49</v>
      </c>
      <c r="C52" s="304">
        <v>17</v>
      </c>
      <c r="D52" s="304" t="s">
        <v>445</v>
      </c>
      <c r="E52" s="305" t="str">
        <f t="shared" ca="1" si="25"/>
        <v>R</v>
      </c>
      <c r="F52" s="306"/>
      <c r="G52" s="307">
        <f t="shared" ca="1" si="26"/>
        <v>66</v>
      </c>
      <c r="H52" s="250"/>
      <c r="I52" s="250"/>
      <c r="J52" s="262"/>
      <c r="K52" s="262"/>
      <c r="AF52" s="236">
        <f t="shared" si="27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28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29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27</v>
      </c>
      <c r="BF52" s="240" t="str">
        <f t="shared" ca="1" si="30"/>
        <v>IPALCO Enterprises,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**IPALCO</v>
      </c>
    </row>
    <row r="53" spans="1:61" ht="13.8" x14ac:dyDescent="0.25">
      <c r="A53" s="303" t="s">
        <v>40</v>
      </c>
      <c r="B53" s="304" t="s">
        <v>49</v>
      </c>
      <c r="C53" s="304">
        <v>17</v>
      </c>
      <c r="D53" s="304" t="s">
        <v>310</v>
      </c>
      <c r="E53" s="305" t="str">
        <f t="shared" ca="1" si="25"/>
        <v>MR</v>
      </c>
      <c r="F53" s="306"/>
      <c r="G53" s="307">
        <f t="shared" ca="1" si="26"/>
        <v>36</v>
      </c>
      <c r="H53" s="250"/>
      <c r="I53" s="250"/>
      <c r="J53" s="262"/>
      <c r="K53" s="262"/>
      <c r="AF53" s="236">
        <f t="shared" si="27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28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29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31</v>
      </c>
      <c r="BF53" s="240" t="str">
        <f t="shared" ca="1" si="30"/>
        <v>NiSource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NI</v>
      </c>
    </row>
    <row r="54" spans="1:61" ht="13.8" x14ac:dyDescent="0.25">
      <c r="A54" s="303" t="s">
        <v>22</v>
      </c>
      <c r="B54" s="304" t="s">
        <v>49</v>
      </c>
      <c r="C54" s="304">
        <v>17</v>
      </c>
      <c r="D54" s="304" t="s">
        <v>316</v>
      </c>
      <c r="E54" s="305" t="str">
        <f t="shared" ca="1" si="25"/>
        <v>MR</v>
      </c>
      <c r="F54" s="306"/>
      <c r="G54" s="307">
        <f t="shared" ca="1" si="26"/>
        <v>42</v>
      </c>
      <c r="H54" s="250"/>
      <c r="I54" s="250"/>
      <c r="J54" s="262"/>
      <c r="K54" s="262"/>
      <c r="AF54" s="236">
        <f t="shared" si="27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28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29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36</v>
      </c>
      <c r="BF54" s="240" t="str">
        <f t="shared" ca="1" si="30"/>
        <v>Otter Tail Corporation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OTTR</v>
      </c>
    </row>
    <row r="55" spans="1:61" ht="13.8" x14ac:dyDescent="0.25">
      <c r="A55" s="303" t="s">
        <v>42</v>
      </c>
      <c r="B55" s="304" t="s">
        <v>49</v>
      </c>
      <c r="C55" s="304">
        <v>17</v>
      </c>
      <c r="D55" s="304" t="s">
        <v>320</v>
      </c>
      <c r="E55" s="305" t="str">
        <f t="shared" ca="1" si="25"/>
        <v>R</v>
      </c>
      <c r="F55" s="306"/>
      <c r="G55" s="307">
        <f t="shared" ca="1" si="26"/>
        <v>46</v>
      </c>
      <c r="H55" s="250"/>
      <c r="I55" s="250"/>
      <c r="J55" s="262"/>
      <c r="K55" s="262"/>
      <c r="AF55" s="236">
        <f t="shared" si="27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28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29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40</v>
      </c>
      <c r="BF55" s="240" t="str">
        <f t="shared" ca="1" si="30"/>
        <v>PNM Resources,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PNM</v>
      </c>
    </row>
    <row r="56" spans="1:61" ht="13.8" x14ac:dyDescent="0.25">
      <c r="A56" s="303" t="s">
        <v>265</v>
      </c>
      <c r="B56" s="304" t="s">
        <v>56</v>
      </c>
      <c r="C56" s="304">
        <v>16</v>
      </c>
      <c r="D56" s="304" t="s">
        <v>313</v>
      </c>
      <c r="E56" s="305" t="str">
        <f t="shared" ca="1" si="25"/>
        <v>R</v>
      </c>
      <c r="F56" s="306"/>
      <c r="G56" s="307">
        <f t="shared" ca="1" si="26"/>
        <v>40</v>
      </c>
      <c r="H56" s="250"/>
      <c r="I56" s="250"/>
      <c r="J56" s="262"/>
      <c r="K56" s="262"/>
      <c r="AF56" s="236">
        <f t="shared" si="27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28"/>
        <v>57</v>
      </c>
      <c r="AK56" s="236" t="str">
        <f t="shared" ca="1" si="20"/>
        <v>BB+</v>
      </c>
      <c r="AL56" s="236">
        <f t="shared" ca="1" si="20"/>
        <v>16</v>
      </c>
      <c r="AM56" s="236" t="str">
        <f t="shared" ca="1" si="29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34</v>
      </c>
      <c r="BF56" s="240" t="str">
        <f t="shared" ca="1" si="30"/>
        <v>NV Energy, Inc.</v>
      </c>
      <c r="BG56" s="240" t="str">
        <f t="shared" ca="1" si="9"/>
        <v>BB+</v>
      </c>
      <c r="BH56" s="240">
        <f t="shared" ca="1" si="9"/>
        <v>16</v>
      </c>
      <c r="BI56" s="240" t="str">
        <f t="shared" ca="1" si="9"/>
        <v>NVE</v>
      </c>
    </row>
    <row r="57" spans="1:61" ht="13.8" x14ac:dyDescent="0.25">
      <c r="A57" s="303" t="s">
        <v>54</v>
      </c>
      <c r="B57" s="304" t="s">
        <v>56</v>
      </c>
      <c r="C57" s="304">
        <v>16</v>
      </c>
      <c r="D57" s="304" t="s">
        <v>448</v>
      </c>
      <c r="E57" s="305" t="str">
        <f t="shared" ca="1" si="25"/>
        <v>R</v>
      </c>
      <c r="F57" s="306"/>
      <c r="G57" s="307">
        <f t="shared" ca="1" si="26"/>
        <v>68</v>
      </c>
      <c r="H57" s="250"/>
      <c r="I57" s="250"/>
      <c r="J57" s="262"/>
      <c r="K57" s="262"/>
      <c r="AF57" s="236">
        <f t="shared" si="27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28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29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44</v>
      </c>
      <c r="BF57" s="240" t="str">
        <f t="shared" ca="1" si="30"/>
        <v>Puget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**PSD</v>
      </c>
    </row>
    <row r="58" spans="1:61" ht="13.8" x14ac:dyDescent="0.25">
      <c r="A58" s="303" t="s">
        <v>64</v>
      </c>
      <c r="B58" s="304" t="s">
        <v>61</v>
      </c>
      <c r="C58" s="304">
        <v>15</v>
      </c>
      <c r="D58" s="304" t="s">
        <v>442</v>
      </c>
      <c r="E58" s="305" t="str">
        <f t="shared" ca="1" si="25"/>
        <v>R</v>
      </c>
      <c r="F58" s="306"/>
      <c r="G58" s="307">
        <f t="shared" ca="1" si="26"/>
        <v>64</v>
      </c>
      <c r="H58" s="250"/>
      <c r="I58" s="250"/>
      <c r="J58" s="262"/>
      <c r="K58" s="262"/>
      <c r="AF58" s="236">
        <f t="shared" si="27"/>
        <v>1</v>
      </c>
      <c r="AG58" s="236" t="str">
        <f t="shared" ca="1" si="3"/>
        <v/>
      </c>
      <c r="AH58" s="236">
        <f t="shared" ca="1" si="19"/>
        <v>1</v>
      </c>
      <c r="AJ58" s="236">
        <f t="shared" ca="1" si="28"/>
        <v>48</v>
      </c>
      <c r="AK58" s="236" t="str">
        <f t="shared" ca="1" si="20"/>
        <v>BBB-</v>
      </c>
      <c r="AL58" s="236">
        <f t="shared" ca="1" si="20"/>
        <v>17</v>
      </c>
      <c r="AM58" s="236" t="str">
        <f t="shared" ca="1" si="29"/>
        <v>Change</v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12</v>
      </c>
      <c r="BF58" s="240" t="str">
        <f t="shared" ca="1" si="30"/>
        <v>DPL Inc.</v>
      </c>
      <c r="BG58" s="240" t="str">
        <f t="shared" ca="1" si="9"/>
        <v>BB</v>
      </c>
      <c r="BH58" s="240">
        <f t="shared" ca="1" si="9"/>
        <v>15</v>
      </c>
      <c r="BI58" s="240" t="str">
        <f t="shared" ca="1" si="9"/>
        <v>**DPL</v>
      </c>
    </row>
    <row r="59" spans="1:61" ht="13.8" x14ac:dyDescent="0.25">
      <c r="A59" s="303" t="s">
        <v>248</v>
      </c>
      <c r="B59" s="304" t="s">
        <v>422</v>
      </c>
      <c r="C59" s="304">
        <v>2</v>
      </c>
      <c r="D59" s="304" t="s">
        <v>444</v>
      </c>
      <c r="E59" s="305" t="str">
        <f t="shared" ca="1" si="25"/>
        <v>D</v>
      </c>
      <c r="F59" s="306"/>
      <c r="G59" s="307">
        <f t="shared" ca="1" si="26"/>
        <v>65</v>
      </c>
      <c r="H59" s="250"/>
      <c r="I59" s="250"/>
      <c r="J59" s="262"/>
      <c r="K59" s="262"/>
      <c r="AF59" s="236">
        <f t="shared" si="27"/>
        <v>0</v>
      </c>
      <c r="AG59" s="236" t="str">
        <f t="shared" ca="1" si="3"/>
        <v/>
      </c>
      <c r="AH59" s="236">
        <f t="shared" ca="1" si="19"/>
        <v>1</v>
      </c>
      <c r="AJ59" s="236">
        <f t="shared" ca="1" si="28"/>
        <v>59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29"/>
        <v>Change</v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30"/>
        <v>Energy Future Holdings Corp.</v>
      </c>
      <c r="BG59" s="240" t="str">
        <f t="shared" ca="1" si="9"/>
        <v>SD</v>
      </c>
      <c r="BH59" s="240">
        <f t="shared" ca="1" si="9"/>
        <v>2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26"/>
        <v/>
      </c>
      <c r="H60" s="250"/>
      <c r="I60" s="250"/>
      <c r="AF60" s="236">
        <f t="shared" si="27"/>
        <v>0</v>
      </c>
      <c r="AG60" s="236" t="str">
        <f t="shared" si="3"/>
        <v/>
      </c>
      <c r="AH60" s="236" t="str">
        <f t="shared" si="19"/>
        <v/>
      </c>
      <c r="AJ60" s="236" t="e">
        <f t="shared" ca="1" si="28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29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30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26"/>
        <v/>
      </c>
      <c r="H61" s="250"/>
      <c r="I61" s="250"/>
      <c r="AF61" s="236">
        <f t="shared" si="27"/>
        <v>0</v>
      </c>
      <c r="AG61" s="236" t="str">
        <f t="shared" si="3"/>
        <v/>
      </c>
      <c r="AH61" s="236" t="str">
        <f t="shared" si="19"/>
        <v/>
      </c>
      <c r="AJ61" s="236" t="e">
        <f t="shared" ca="1" si="28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29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30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26"/>
        <v>34</v>
      </c>
      <c r="H62" s="250"/>
      <c r="I62" s="250"/>
      <c r="AF62" s="236">
        <f t="shared" si="27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28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29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30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26"/>
        <v>15</v>
      </c>
      <c r="H63" s="250"/>
      <c r="I63" s="250"/>
      <c r="AF63" s="236">
        <f t="shared" si="27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28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29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30"/>
        <v>0</v>
      </c>
      <c r="BG63" s="240">
        <f t="shared" ref="BG63:BI63" ca="1" si="31">OFFSET( AR$6, $BD63, 0 )</f>
        <v>0</v>
      </c>
      <c r="BH63" s="240">
        <f t="shared" ca="1" si="31"/>
        <v>0</v>
      </c>
      <c r="BI63" s="240">
        <f t="shared" ca="1" si="31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26"/>
        <v>57</v>
      </c>
      <c r="H64" s="250"/>
      <c r="I64" s="250"/>
      <c r="AF64" s="236">
        <f t="shared" si="27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28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29"/>
        <v/>
      </c>
      <c r="AQ64" s="286" t="s">
        <v>474</v>
      </c>
      <c r="AR64" s="286" t="s">
        <v>2</v>
      </c>
      <c r="AS64" s="286">
        <v>21</v>
      </c>
      <c r="AT64" s="286" t="s">
        <v>440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26"/>
        <v>56</v>
      </c>
      <c r="H65" s="250"/>
      <c r="I65" s="250"/>
      <c r="N65" s="234" t="s">
        <v>73</v>
      </c>
      <c r="AF65" s="236">
        <f t="shared" si="27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28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29"/>
        <v/>
      </c>
      <c r="AQ65" s="286" t="s">
        <v>473</v>
      </c>
      <c r="AR65" s="286" t="s">
        <v>108</v>
      </c>
      <c r="AS65" s="286">
        <v>23</v>
      </c>
      <c r="AT65" s="286" t="s">
        <v>439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7"/>
        <v>0</v>
      </c>
      <c r="AG66" s="236" t="str">
        <f t="shared" ref="AG66:AG67" si="32">IF( LEN( $C66 ) = 0, "", IF( $C66 &gt; $AL66, 1, "" ) )</f>
        <v/>
      </c>
      <c r="AH66" s="236" t="str">
        <f t="shared" si="19"/>
        <v/>
      </c>
      <c r="AJ66" s="236" t="e">
        <f t="shared" ca="1" si="28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29"/>
        <v/>
      </c>
      <c r="AQ66" s="286" t="s">
        <v>476</v>
      </c>
      <c r="AR66" s="286"/>
      <c r="AS66" s="286"/>
      <c r="AT66" s="286" t="s">
        <v>447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7"/>
        <v>0</v>
      </c>
      <c r="AG67" s="236" t="str">
        <f t="shared" si="32"/>
        <v/>
      </c>
      <c r="AH67" s="236" t="str">
        <f t="shared" si="19"/>
        <v/>
      </c>
      <c r="AJ67" s="236" t="e">
        <f t="shared" ca="1" si="28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29"/>
        <v/>
      </c>
      <c r="AQ67" s="286" t="s">
        <v>475</v>
      </c>
      <c r="AR67" s="286" t="s">
        <v>56</v>
      </c>
      <c r="AS67" s="286">
        <v>16</v>
      </c>
      <c r="AT67" s="286" t="s">
        <v>441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18.071428571428573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/>
      <c r="AR69" s="286"/>
      <c r="AS69" s="286"/>
      <c r="AT69" s="286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/>
      <c r="AR70" s="286"/>
      <c r="AS70" s="286"/>
      <c r="AT70" s="286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18.303571428571427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Q3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'Credit_2012Q2'!a:a</v>
      </c>
      <c r="AK2" s="240" t="str">
        <f>AK4 &amp; AK3</f>
        <v>'Credit_2012Q2'!b1</v>
      </c>
      <c r="AL2" s="240" t="str">
        <f>AL4 &amp; AL3</f>
        <v>'Credit_2012Q2'!c1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478</v>
      </c>
      <c r="AK4" s="236" t="str">
        <f>AJ4</f>
        <v>'Credit_2012Q2'!</v>
      </c>
      <c r="AL4" s="236" t="str">
        <f>AK4</f>
        <v>'Credit_2012Q2'!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(56)</v>
      </c>
      <c r="M5" s="505"/>
      <c r="N5" s="314"/>
      <c r="O5" s="503" t="str">
        <f ca="1">"Regulated" &amp; CHAR( 10 ) &amp; "(" &amp; O14 &amp; ")"</f>
        <v>Regulated
(36)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(3)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406</v>
      </c>
      <c r="C6" s="338" t="s">
        <v>470</v>
      </c>
      <c r="D6" s="301"/>
      <c r="E6" s="302">
        <v>40908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10</v>
      </c>
      <c r="AW7" s="234">
        <f>COUNTIF( AV7:AV$7, AV7 )</f>
        <v>1</v>
      </c>
      <c r="AX7" s="287">
        <f>AV7 + AW7 / 10</f>
        <v>10.1</v>
      </c>
      <c r="AY7" s="234">
        <f>RANK( AX7, $AX$7:$AX$63, 1 )</f>
        <v>10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47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5.3571428571428568E-2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5.5555555555555552E-2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10</v>
      </c>
      <c r="AW8" s="234">
        <f>COUNTIF( AV$7:AV8, AV8 )</f>
        <v>2</v>
      </c>
      <c r="AX8" s="287">
        <f t="shared" ref="AX8:AX63" si="22">AV8 + AW8 / 10</f>
        <v>10.199999999999999</v>
      </c>
      <c r="AY8" s="234">
        <f t="shared" ref="AY8:AY63" si="23">RANK( AX8, $AX$7:$AX$63, 1 )</f>
        <v>11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8</v>
      </c>
      <c r="M9" s="296">
        <f t="shared" si="11"/>
        <v>0.14285714285714285</v>
      </c>
      <c r="N9" s="318"/>
      <c r="O9" s="295">
        <f t="shared" ca="1" si="12"/>
        <v>6</v>
      </c>
      <c r="P9" s="296">
        <f t="shared" ca="1" si="13"/>
        <v>0.16666666666666666</v>
      </c>
      <c r="Q9" s="318"/>
      <c r="R9" s="295">
        <f t="shared" ca="1" si="14"/>
        <v>2</v>
      </c>
      <c r="S9" s="296">
        <f t="shared" ca="1" si="15"/>
        <v>0.11764705882352941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8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39</v>
      </c>
      <c r="AW9" s="234">
        <f>COUNTIF( AV$7:AV9, AV9 )</f>
        <v>1</v>
      </c>
      <c r="AX9" s="287">
        <f t="shared" si="22"/>
        <v>39.1</v>
      </c>
      <c r="AY9" s="234">
        <f t="shared" si="23"/>
        <v>39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253</v>
      </c>
      <c r="B10" s="304" t="s">
        <v>10</v>
      </c>
      <c r="C10" s="304">
        <v>20</v>
      </c>
      <c r="D10" s="304" t="s">
        <v>330</v>
      </c>
      <c r="E10" s="305" t="str">
        <f t="shared" ca="1" si="0"/>
        <v>R</v>
      </c>
      <c r="F10" s="306"/>
      <c r="G10" s="307">
        <f t="shared" ca="1" si="1"/>
        <v>32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0.23214285714285715</v>
      </c>
      <c r="N10" s="318"/>
      <c r="O10" s="295">
        <f t="shared" ca="1" si="12"/>
        <v>5</v>
      </c>
      <c r="P10" s="296">
        <f t="shared" ca="1" si="13"/>
        <v>0.1388888888888889</v>
      </c>
      <c r="Q10" s="318"/>
      <c r="R10" s="295">
        <f t="shared" ca="1" si="14"/>
        <v>7</v>
      </c>
      <c r="S10" s="296">
        <f t="shared" ca="1" si="15"/>
        <v>0.41176470588235292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23</v>
      </c>
      <c r="AW10" s="234">
        <f>COUNTIF( AV$7:AV10, AV10 )</f>
        <v>1</v>
      </c>
      <c r="AX10" s="287">
        <f t="shared" si="22"/>
        <v>23.1</v>
      </c>
      <c r="AY10" s="234">
        <f t="shared" si="23"/>
        <v>23</v>
      </c>
      <c r="AZ10" s="236"/>
      <c r="BA10" s="236"/>
      <c r="BC10" s="234">
        <f t="shared" ca="1" si="24"/>
        <v>4</v>
      </c>
      <c r="BD10" s="288">
        <f t="shared" ca="1" si="7"/>
        <v>26</v>
      </c>
      <c r="BF10" s="240" t="str">
        <f t="shared" ca="1" si="8"/>
        <v>Integrys Energy Group,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TEG</v>
      </c>
    </row>
    <row r="11" spans="1:61" ht="13.8" x14ac:dyDescent="0.25">
      <c r="A11" s="303" t="s">
        <v>369</v>
      </c>
      <c r="B11" s="304" t="s">
        <v>10</v>
      </c>
      <c r="C11" s="304">
        <v>20</v>
      </c>
      <c r="D11" s="304" t="s">
        <v>368</v>
      </c>
      <c r="E11" s="305" t="str">
        <f t="shared" ca="1" si="0"/>
        <v>MR</v>
      </c>
      <c r="F11" s="306"/>
      <c r="G11" s="307">
        <f t="shared" ca="1" si="1"/>
        <v>35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0.2857142857142857</v>
      </c>
      <c r="N11" s="318"/>
      <c r="O11" s="295">
        <f t="shared" ca="1" si="12"/>
        <v>13</v>
      </c>
      <c r="P11" s="296">
        <f t="shared" ca="1" si="13"/>
        <v>0.3611111111111111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23</v>
      </c>
      <c r="AW11" s="234">
        <f>COUNTIF( AV$7:AV11, AV11 )</f>
        <v>2</v>
      </c>
      <c r="AX11" s="287">
        <f t="shared" si="22"/>
        <v>23.2</v>
      </c>
      <c r="AY11" s="234">
        <f t="shared" si="23"/>
        <v>24</v>
      </c>
      <c r="AZ11" s="236"/>
      <c r="BA11" s="236"/>
      <c r="BC11" s="234">
        <f t="shared" ca="1" si="24"/>
        <v>5</v>
      </c>
      <c r="BD11" s="288">
        <f t="shared" ca="1" si="7"/>
        <v>30</v>
      </c>
      <c r="BF11" s="240" t="str">
        <f t="shared" ca="1" si="8"/>
        <v>NextEra Energy,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NEE</v>
      </c>
    </row>
    <row r="12" spans="1:61" ht="13.8" x14ac:dyDescent="0.25">
      <c r="A12" s="303" t="s">
        <v>512</v>
      </c>
      <c r="B12" s="304" t="s">
        <v>10</v>
      </c>
      <c r="C12" s="304">
        <v>20</v>
      </c>
      <c r="D12" s="304" t="s">
        <v>511</v>
      </c>
      <c r="E12" s="305" t="str">
        <f t="shared" ca="1" si="0"/>
        <v>R</v>
      </c>
      <c r="F12" s="306"/>
      <c r="G12" s="307">
        <f t="shared" ca="1" si="1"/>
        <v>37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0.21428571428571427</v>
      </c>
      <c r="N12" s="318"/>
      <c r="O12" s="295">
        <f t="shared" ca="1" si="12"/>
        <v>7</v>
      </c>
      <c r="P12" s="296">
        <f t="shared" ca="1" si="13"/>
        <v>0.19444444444444445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39</v>
      </c>
      <c r="AW12" s="234">
        <f>COUNTIF( AV$7:AV12, AV12 )</f>
        <v>2</v>
      </c>
      <c r="AX12" s="287">
        <f t="shared" si="22"/>
        <v>39.200000000000003</v>
      </c>
      <c r="AY12" s="234">
        <f t="shared" si="23"/>
        <v>40</v>
      </c>
      <c r="AZ12" s="236"/>
      <c r="BA12" s="236"/>
      <c r="BC12" s="234">
        <f t="shared" ca="1" si="24"/>
        <v>6</v>
      </c>
      <c r="BD12" s="288">
        <f t="shared" ca="1" si="7"/>
        <v>32</v>
      </c>
      <c r="BF12" s="240" t="str">
        <f t="shared" ca="1" si="8"/>
        <v>Eversource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ES</v>
      </c>
    </row>
    <row r="13" spans="1:61" ht="13.8" x14ac:dyDescent="0.25">
      <c r="A13" s="303" t="s">
        <v>14</v>
      </c>
      <c r="B13" s="304" t="s">
        <v>10</v>
      </c>
      <c r="C13" s="304">
        <v>20</v>
      </c>
      <c r="D13" s="304" t="s">
        <v>334</v>
      </c>
      <c r="E13" s="305" t="str">
        <f t="shared" ca="1" si="0"/>
        <v>R</v>
      </c>
      <c r="F13" s="306"/>
      <c r="G13" s="307">
        <f t="shared" ca="1" si="1"/>
        <v>58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7.1428571428571425E-2</v>
      </c>
      <c r="N13" s="319"/>
      <c r="O13" s="297">
        <f t="shared" ca="1" si="12"/>
        <v>3</v>
      </c>
      <c r="P13" s="298">
        <f t="shared" ca="1" si="13"/>
        <v>8.3333333333333329E-2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4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9"/>
        <v/>
      </c>
      <c r="AJ13" s="236">
        <f t="shared" ca="1" si="4"/>
        <v>14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5"/>
        <v/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10</v>
      </c>
      <c r="AW13" s="234">
        <f>COUNTIF( AV$7:AV13, AV13 )</f>
        <v>3</v>
      </c>
      <c r="AX13" s="287">
        <f t="shared" si="22"/>
        <v>10.3</v>
      </c>
      <c r="AY13" s="234">
        <f t="shared" si="23"/>
        <v>12</v>
      </c>
      <c r="AZ13" s="236"/>
      <c r="BA13" s="236"/>
      <c r="BC13" s="234">
        <f t="shared" ca="1" si="24"/>
        <v>7</v>
      </c>
      <c r="BD13" s="288">
        <f t="shared" ca="1" si="7"/>
        <v>50</v>
      </c>
      <c r="BF13" s="240" t="str">
        <f t="shared" ca="1" si="8"/>
        <v>Vectren Corporation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VVC</v>
      </c>
    </row>
    <row r="14" spans="1:61" ht="13.8" x14ac:dyDescent="0.25">
      <c r="A14" s="303" t="s">
        <v>26</v>
      </c>
      <c r="B14" s="304" t="s">
        <v>10</v>
      </c>
      <c r="C14" s="304">
        <v>20</v>
      </c>
      <c r="D14" s="304" t="s">
        <v>335</v>
      </c>
      <c r="E14" s="305" t="str">
        <f t="shared" ca="1" si="0"/>
        <v>R</v>
      </c>
      <c r="F14" s="306"/>
      <c r="G14" s="307">
        <f t="shared" ca="1" si="1"/>
        <v>60</v>
      </c>
      <c r="H14" s="250"/>
      <c r="I14" s="320"/>
      <c r="J14" s="291" t="s">
        <v>80</v>
      </c>
      <c r="K14" s="320"/>
      <c r="L14" s="291">
        <f>SUM(L8:L13)</f>
        <v>56</v>
      </c>
      <c r="M14" s="292">
        <f>L14/L$14</f>
        <v>1</v>
      </c>
      <c r="N14" s="320"/>
      <c r="O14" s="291">
        <f ca="1">SUM(O8:O13)</f>
        <v>36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18.321428571428573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23</v>
      </c>
      <c r="AW14" s="234">
        <f>COUNTIF( AV$7:AV14, AV14 )</f>
        <v>3</v>
      </c>
      <c r="AX14" s="287">
        <f t="shared" si="22"/>
        <v>23.3</v>
      </c>
      <c r="AY14" s="234">
        <f t="shared" si="23"/>
        <v>25</v>
      </c>
      <c r="AZ14" s="236"/>
      <c r="BA14" s="236"/>
      <c r="BC14" s="234">
        <f t="shared" ca="1" si="24"/>
        <v>8</v>
      </c>
      <c r="BD14" s="288">
        <f t="shared" ca="1" si="7"/>
        <v>52</v>
      </c>
      <c r="BF14" s="240" t="str">
        <f t="shared" ca="1" si="8"/>
        <v>Wisconsin Energy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WEC</v>
      </c>
    </row>
    <row r="15" spans="1:61" ht="13.8" x14ac:dyDescent="0.25">
      <c r="A15" s="303" t="s">
        <v>257</v>
      </c>
      <c r="B15" s="304" t="s">
        <v>10</v>
      </c>
      <c r="C15" s="304">
        <v>20</v>
      </c>
      <c r="D15" s="304" t="s">
        <v>337</v>
      </c>
      <c r="E15" s="305" t="str">
        <f t="shared" ca="1" si="0"/>
        <v>R</v>
      </c>
      <c r="F15" s="306"/>
      <c r="G15" s="307">
        <f t="shared" ca="1" si="1"/>
        <v>61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39</v>
      </c>
      <c r="AW15" s="234">
        <f>COUNTIF( AV$7:AV15, AV15 )</f>
        <v>3</v>
      </c>
      <c r="AX15" s="287">
        <f t="shared" si="22"/>
        <v>39.299999999999997</v>
      </c>
      <c r="AY15" s="234">
        <f t="shared" si="23"/>
        <v>41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Xcel Energy Inc.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XEL</v>
      </c>
    </row>
    <row r="16" spans="1:61" ht="13.8" x14ac:dyDescent="0.25">
      <c r="A16" s="303" t="s">
        <v>15</v>
      </c>
      <c r="B16" s="304" t="s">
        <v>16</v>
      </c>
      <c r="C16" s="304">
        <v>19</v>
      </c>
      <c r="D16" s="304" t="s">
        <v>276</v>
      </c>
      <c r="E16" s="305" t="str">
        <f t="shared" ca="1" si="0"/>
        <v>R</v>
      </c>
      <c r="F16" s="306"/>
      <c r="G16" s="307">
        <f t="shared" ca="1" si="1"/>
        <v>7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18.232142857142858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18.277777777777779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18.705882352941178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15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BBB+</v>
      </c>
      <c r="AL16" s="236">
        <f t="shared" ca="1" si="20"/>
        <v>19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1</v>
      </c>
      <c r="BF16" s="240" t="str">
        <f t="shared" ca="1" si="8"/>
        <v>ALLETE, Inc.</v>
      </c>
      <c r="BG16" s="240" t="str">
        <f t="shared" ca="1" si="9"/>
        <v>BBB+</v>
      </c>
      <c r="BH16" s="240">
        <f t="shared" ca="1" si="9"/>
        <v>19</v>
      </c>
      <c r="BI16" s="240" t="str">
        <f t="shared" ca="1" si="9"/>
        <v>ALE</v>
      </c>
    </row>
    <row r="17" spans="1:61" ht="13.8" x14ac:dyDescent="0.25">
      <c r="A17" s="303" t="s">
        <v>17</v>
      </c>
      <c r="B17" s="304" t="s">
        <v>16</v>
      </c>
      <c r="C17" s="304">
        <v>19</v>
      </c>
      <c r="D17" s="304" t="s">
        <v>306</v>
      </c>
      <c r="E17" s="305" t="str">
        <f t="shared" ca="1" si="0"/>
        <v>R</v>
      </c>
      <c r="F17" s="306"/>
      <c r="G17" s="307">
        <f t="shared" ca="1" si="1"/>
        <v>8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2</v>
      </c>
      <c r="BF17" s="240" t="str">
        <f t="shared" ca="1" si="8"/>
        <v>Alliant Energy Corporation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LNT</v>
      </c>
    </row>
    <row r="18" spans="1:61" ht="13.8" x14ac:dyDescent="0.25">
      <c r="A18" s="303" t="s">
        <v>29</v>
      </c>
      <c r="B18" s="304" t="s">
        <v>16</v>
      </c>
      <c r="C18" s="304">
        <v>19</v>
      </c>
      <c r="D18" s="304" t="s">
        <v>285</v>
      </c>
      <c r="E18" s="305" t="str">
        <f t="shared" ca="1" si="0"/>
        <v>MR</v>
      </c>
      <c r="F18" s="306"/>
      <c r="G18" s="307">
        <f t="shared" ca="1" si="1"/>
        <v>13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39</v>
      </c>
      <c r="AW18" s="234">
        <f>COUNTIF( AV$7:AV18, AV18 )</f>
        <v>4</v>
      </c>
      <c r="AX18" s="287">
        <f t="shared" si="22"/>
        <v>39.4</v>
      </c>
      <c r="AY18" s="234">
        <f t="shared" si="23"/>
        <v>42</v>
      </c>
      <c r="AZ18" s="236"/>
      <c r="BA18" s="236"/>
      <c r="BC18" s="234">
        <f t="shared" ca="1" si="24"/>
        <v>12</v>
      </c>
      <c r="BD18" s="288">
        <f t="shared" ca="1" si="7"/>
        <v>7</v>
      </c>
      <c r="BF18" s="240" t="str">
        <f t="shared" ca="1" si="8"/>
        <v>CenterPoint Energy,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CNP</v>
      </c>
    </row>
    <row r="19" spans="1:61" ht="13.8" x14ac:dyDescent="0.25">
      <c r="A19" s="303" t="s">
        <v>31</v>
      </c>
      <c r="B19" s="304" t="s">
        <v>16</v>
      </c>
      <c r="C19" s="304">
        <v>19</v>
      </c>
      <c r="D19" s="304" t="s">
        <v>288</v>
      </c>
      <c r="E19" s="305" t="str">
        <f t="shared" ca="1" si="0"/>
        <v>R</v>
      </c>
      <c r="F19" s="306"/>
      <c r="G19" s="307">
        <f t="shared" ca="1" si="1"/>
        <v>21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10</v>
      </c>
      <c r="AW19" s="234">
        <f>COUNTIF( AV$7:AV19, AV19 )</f>
        <v>4</v>
      </c>
      <c r="AX19" s="287">
        <f t="shared" si="22"/>
        <v>10.4</v>
      </c>
      <c r="AY19" s="234">
        <f t="shared" si="23"/>
        <v>13</v>
      </c>
      <c r="AZ19" s="236"/>
      <c r="BA19" s="236"/>
      <c r="BC19" s="234">
        <f t="shared" ca="1" si="24"/>
        <v>13</v>
      </c>
      <c r="BD19" s="288">
        <f t="shared" ca="1" si="7"/>
        <v>13</v>
      </c>
      <c r="BF19" s="240" t="str">
        <f t="shared" ca="1" si="8"/>
        <v>DTE Energy Company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DTE</v>
      </c>
    </row>
    <row r="20" spans="1:61" ht="13.8" x14ac:dyDescent="0.25">
      <c r="A20" s="303" t="s">
        <v>32</v>
      </c>
      <c r="B20" s="304" t="s">
        <v>16</v>
      </c>
      <c r="C20" s="304">
        <v>19</v>
      </c>
      <c r="D20" s="304" t="s">
        <v>289</v>
      </c>
      <c r="E20" s="305" t="str">
        <f t="shared" ca="1" si="0"/>
        <v>MR</v>
      </c>
      <c r="F20" s="306"/>
      <c r="G20" s="307">
        <f t="shared" ca="1" si="1"/>
        <v>22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>
        <f t="shared" ca="1" si="19"/>
        <v>1</v>
      </c>
      <c r="AJ20" s="236">
        <f t="shared" ca="1" si="4"/>
        <v>10</v>
      </c>
      <c r="AK20" s="236" t="str">
        <f t="shared" ca="1" si="20"/>
        <v>A-</v>
      </c>
      <c r="AL20" s="236">
        <f t="shared" ca="1" si="20"/>
        <v>20</v>
      </c>
      <c r="AM20" s="236" t="str">
        <f t="shared" ca="1" si="5"/>
        <v>Change</v>
      </c>
      <c r="AQ20" s="286" t="s">
        <v>32</v>
      </c>
      <c r="AR20" s="286" t="s">
        <v>16</v>
      </c>
      <c r="AS20" s="286">
        <v>19</v>
      </c>
      <c r="AT20" s="289" t="s">
        <v>289</v>
      </c>
      <c r="AV20" s="234">
        <f t="shared" si="21"/>
        <v>10</v>
      </c>
      <c r="AW20" s="234">
        <f>COUNTIF( AV$7:AV20, AV20 )</f>
        <v>5</v>
      </c>
      <c r="AX20" s="287">
        <f t="shared" si="22"/>
        <v>10.5</v>
      </c>
      <c r="AY20" s="234">
        <f t="shared" si="23"/>
        <v>14</v>
      </c>
      <c r="AZ20" s="236"/>
      <c r="BA20" s="236"/>
      <c r="BC20" s="234">
        <f t="shared" ca="1" si="24"/>
        <v>14</v>
      </c>
      <c r="BD20" s="288">
        <f t="shared" ca="1" si="7"/>
        <v>14</v>
      </c>
      <c r="BF20" s="240" t="str">
        <f t="shared" ca="1" si="8"/>
        <v>Duke Energy Corporation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DUK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39</v>
      </c>
      <c r="AW21" s="234">
        <f>COUNTIF( AV$7:AV21, AV21 )</f>
        <v>5</v>
      </c>
      <c r="AX21" s="287">
        <f t="shared" si="22"/>
        <v>39.5</v>
      </c>
      <c r="AY21" s="234">
        <f t="shared" si="23"/>
        <v>43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23</v>
      </c>
      <c r="AW22" s="234">
        <f>COUNTIF( AV$7:AV22, AV22 )</f>
        <v>4</v>
      </c>
      <c r="AX22" s="287">
        <f t="shared" si="22"/>
        <v>23.4</v>
      </c>
      <c r="AY22" s="234">
        <f t="shared" si="23"/>
        <v>26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39</v>
      </c>
      <c r="AW23" s="234">
        <f>COUNTIF( AV$7:AV23, AV23 )</f>
        <v>6</v>
      </c>
      <c r="AX23" s="287">
        <f t="shared" si="22"/>
        <v>39.6</v>
      </c>
      <c r="AY23" s="234">
        <f t="shared" si="23"/>
        <v>44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53</v>
      </c>
      <c r="AW24" s="234">
        <f>COUNTIF( AV$7:AV24, AV24 )</f>
        <v>1</v>
      </c>
      <c r="AX24" s="287">
        <f t="shared" si="22"/>
        <v>53.1</v>
      </c>
      <c r="AY24" s="234">
        <f t="shared" si="23"/>
        <v>53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23</v>
      </c>
      <c r="AW25" s="234">
        <f>COUNTIF( AV$7:AV25, AV25 )</f>
        <v>5</v>
      </c>
      <c r="AX25" s="287">
        <f t="shared" si="22"/>
        <v>23.5</v>
      </c>
      <c r="AY25" s="234">
        <f t="shared" si="23"/>
        <v>27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13</v>
      </c>
      <c r="B26" s="304" t="s">
        <v>16</v>
      </c>
      <c r="C26" s="304">
        <v>19</v>
      </c>
      <c r="D26" s="304" t="s">
        <v>326</v>
      </c>
      <c r="E26" s="305" t="str">
        <f t="shared" ca="1" si="0"/>
        <v>MR</v>
      </c>
      <c r="F26" s="306"/>
      <c r="G26" s="307">
        <f t="shared" ca="1" si="1"/>
        <v>51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23</v>
      </c>
      <c r="AW26" s="234">
        <f>COUNTIF( AV$7:AV26, AV26 )</f>
        <v>6</v>
      </c>
      <c r="AX26" s="287">
        <f t="shared" si="22"/>
        <v>23.6</v>
      </c>
      <c r="AY26" s="234">
        <f t="shared" si="23"/>
        <v>28</v>
      </c>
      <c r="AZ26" s="236"/>
      <c r="BA26" s="236"/>
      <c r="BC26" s="234">
        <f t="shared" ca="1" si="24"/>
        <v>20</v>
      </c>
      <c r="BD26" s="288">
        <f t="shared" ca="1" si="7"/>
        <v>45</v>
      </c>
      <c r="BF26" s="240" t="str">
        <f t="shared" ca="1" si="8"/>
        <v>SCANA Corporation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SCG</v>
      </c>
    </row>
    <row r="27" spans="1:61" ht="13.8" x14ac:dyDescent="0.25">
      <c r="A27" s="303" t="s">
        <v>25</v>
      </c>
      <c r="B27" s="304" t="s">
        <v>16</v>
      </c>
      <c r="C27" s="304">
        <v>19</v>
      </c>
      <c r="D27" s="304" t="s">
        <v>328</v>
      </c>
      <c r="E27" s="305" t="str">
        <f t="shared" ca="1" si="0"/>
        <v>MR</v>
      </c>
      <c r="F27" s="306"/>
      <c r="G27" s="307">
        <f t="shared" ca="1" si="1"/>
        <v>52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39</v>
      </c>
      <c r="AW27" s="234">
        <f>COUNTIF( AV$7:AV27, AV27 )</f>
        <v>7</v>
      </c>
      <c r="AX27" s="287">
        <f t="shared" si="22"/>
        <v>39.700000000000003</v>
      </c>
      <c r="AY27" s="234">
        <f t="shared" si="23"/>
        <v>45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Sempra Energy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SRE</v>
      </c>
    </row>
    <row r="28" spans="1:61" ht="13.8" x14ac:dyDescent="0.25">
      <c r="A28" s="303" t="s">
        <v>62</v>
      </c>
      <c r="B28" s="304" t="s">
        <v>16</v>
      </c>
      <c r="C28" s="304">
        <v>19</v>
      </c>
      <c r="D28" s="304" t="s">
        <v>329</v>
      </c>
      <c r="E28" s="305" t="str">
        <f t="shared" ca="1" si="0"/>
        <v>R</v>
      </c>
      <c r="F28" s="306"/>
      <c r="G28" s="307">
        <f t="shared" ca="1" si="1"/>
        <v>54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23</v>
      </c>
      <c r="AW28" s="234">
        <f>COUNTIF( AV$7:AV28, AV28 )</f>
        <v>7</v>
      </c>
      <c r="AX28" s="287">
        <f t="shared" si="22"/>
        <v>23.7</v>
      </c>
      <c r="AY28" s="234">
        <f t="shared" si="23"/>
        <v>29</v>
      </c>
      <c r="AZ28" s="236"/>
      <c r="BA28" s="236"/>
      <c r="BC28" s="234">
        <f t="shared" ca="1" si="24"/>
        <v>22</v>
      </c>
      <c r="BD28" s="288">
        <f t="shared" ca="1" si="7"/>
        <v>48</v>
      </c>
      <c r="BF28" s="240" t="str">
        <f t="shared" ca="1" si="8"/>
        <v>TECO Energy, Inc.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TE</v>
      </c>
    </row>
    <row r="29" spans="1:61" ht="13.8" x14ac:dyDescent="0.25">
      <c r="A29" s="303" t="s">
        <v>258</v>
      </c>
      <c r="B29" s="304" t="s">
        <v>28</v>
      </c>
      <c r="C29" s="304">
        <v>18</v>
      </c>
      <c r="D29" s="304" t="s">
        <v>274</v>
      </c>
      <c r="E29" s="305" t="str">
        <f t="shared" ca="1" si="0"/>
        <v>R</v>
      </c>
      <c r="F29" s="306"/>
      <c r="G29" s="307">
        <f t="shared" ca="1" si="1"/>
        <v>10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</v>
      </c>
      <c r="AL29" s="236">
        <f t="shared" ca="1" si="20"/>
        <v>18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39</v>
      </c>
      <c r="AW29" s="234">
        <f>COUNTIF( AV$7:AV29, AV29 )</f>
        <v>8</v>
      </c>
      <c r="AX29" s="287">
        <f t="shared" si="22"/>
        <v>39.799999999999997</v>
      </c>
      <c r="AY29" s="234">
        <f t="shared" si="23"/>
        <v>46</v>
      </c>
      <c r="AZ29" s="236"/>
      <c r="BA29" s="236"/>
      <c r="BC29" s="234">
        <f t="shared" ca="1" si="24"/>
        <v>23</v>
      </c>
      <c r="BD29" s="288">
        <f t="shared" ca="1" si="7"/>
        <v>4</v>
      </c>
      <c r="BF29" s="240" t="str">
        <f t="shared" ca="1" si="8"/>
        <v>American Electric Power Company, Inc.</v>
      </c>
      <c r="BG29" s="240" t="str">
        <f t="shared" ca="1" si="9"/>
        <v>BBB</v>
      </c>
      <c r="BH29" s="240">
        <f t="shared" ca="1" si="9"/>
        <v>18</v>
      </c>
      <c r="BI29" s="240" t="str">
        <f t="shared" ca="1" si="9"/>
        <v>AEP</v>
      </c>
    </row>
    <row r="30" spans="1:61" ht="13.8" x14ac:dyDescent="0.25">
      <c r="A30" s="303" t="s">
        <v>55</v>
      </c>
      <c r="B30" s="304" t="s">
        <v>28</v>
      </c>
      <c r="C30" s="304">
        <v>18</v>
      </c>
      <c r="D30" s="304" t="s">
        <v>277</v>
      </c>
      <c r="E30" s="305" t="str">
        <f t="shared" ca="1" si="0"/>
        <v>R</v>
      </c>
      <c r="F30" s="306"/>
      <c r="G30" s="307">
        <f t="shared" ca="1" si="1"/>
        <v>11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10</v>
      </c>
      <c r="AW30" s="234">
        <f>COUNTIF( AV$7:AV30, AV30 )</f>
        <v>6</v>
      </c>
      <c r="AX30" s="287">
        <f t="shared" si="22"/>
        <v>10.6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5</v>
      </c>
      <c r="BF30" s="240" t="str">
        <f t="shared" ca="1" si="8"/>
        <v>Avista Corporation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AVA</v>
      </c>
    </row>
    <row r="31" spans="1:61" ht="13.8" x14ac:dyDescent="0.25">
      <c r="A31" s="303" t="s">
        <v>30</v>
      </c>
      <c r="B31" s="304" t="s">
        <v>28</v>
      </c>
      <c r="C31" s="304">
        <v>18</v>
      </c>
      <c r="D31" s="304" t="s">
        <v>284</v>
      </c>
      <c r="E31" s="305" t="str">
        <f t="shared" ca="1" si="0"/>
        <v>R</v>
      </c>
      <c r="F31" s="306"/>
      <c r="G31" s="307">
        <f t="shared" ca="1" si="1"/>
        <v>16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23</v>
      </c>
      <c r="AW31" s="234">
        <f>COUNTIF( AV$7:AV31, AV31 )</f>
        <v>8</v>
      </c>
      <c r="AX31" s="287">
        <f t="shared" si="22"/>
        <v>23.8</v>
      </c>
      <c r="AY31" s="234">
        <f t="shared" si="23"/>
        <v>30</v>
      </c>
      <c r="AZ31" s="236"/>
      <c r="BA31" s="236"/>
      <c r="BC31" s="234">
        <f t="shared" ca="1" si="24"/>
        <v>25</v>
      </c>
      <c r="BD31" s="288">
        <f t="shared" ca="1" si="7"/>
        <v>8</v>
      </c>
      <c r="BF31" s="240" t="str">
        <f t="shared" ca="1" si="8"/>
        <v>Cleco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CNL</v>
      </c>
    </row>
    <row r="32" spans="1:61" ht="13.8" x14ac:dyDescent="0.25">
      <c r="A32" s="303" t="s">
        <v>34</v>
      </c>
      <c r="B32" s="304" t="s">
        <v>28</v>
      </c>
      <c r="C32" s="304">
        <v>18</v>
      </c>
      <c r="D32" s="304" t="s">
        <v>293</v>
      </c>
      <c r="E32" s="305" t="str">
        <f t="shared" ca="1" si="0"/>
        <v>R</v>
      </c>
      <c r="F32" s="306"/>
      <c r="G32" s="307">
        <f t="shared" ca="1" si="1"/>
        <v>24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3</v>
      </c>
      <c r="AX32" s="287">
        <f t="shared" si="22"/>
        <v>2.2999999999999998</v>
      </c>
      <c r="AY32" s="234">
        <f t="shared" si="23"/>
        <v>4</v>
      </c>
      <c r="AZ32" s="236"/>
      <c r="BA32" s="236"/>
      <c r="BC32" s="234">
        <f t="shared" ca="1" si="24"/>
        <v>26</v>
      </c>
      <c r="BD32" s="288">
        <f t="shared" ca="1" si="7"/>
        <v>16</v>
      </c>
      <c r="BF32" s="240" t="str">
        <f t="shared" ca="1" si="8"/>
        <v>El Paso Electric Company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EE</v>
      </c>
    </row>
    <row r="33" spans="1:61" ht="13.8" x14ac:dyDescent="0.25">
      <c r="A33" s="303" t="s">
        <v>36</v>
      </c>
      <c r="B33" s="304" t="s">
        <v>28</v>
      </c>
      <c r="C33" s="304">
        <v>18</v>
      </c>
      <c r="D33" s="304" t="s">
        <v>296</v>
      </c>
      <c r="E33" s="305" t="str">
        <f t="shared" ca="1" si="0"/>
        <v>R</v>
      </c>
      <c r="F33" s="306"/>
      <c r="G33" s="307">
        <f t="shared" ca="1" si="1"/>
        <v>26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39</v>
      </c>
      <c r="AW33" s="234">
        <f>COUNTIF( AV$7:AV33, AV33 )</f>
        <v>9</v>
      </c>
      <c r="AX33" s="287">
        <f t="shared" si="22"/>
        <v>39.9</v>
      </c>
      <c r="AY33" s="234">
        <f t="shared" si="23"/>
        <v>47</v>
      </c>
      <c r="AZ33" s="236"/>
      <c r="BA33" s="236"/>
      <c r="BC33" s="234">
        <f t="shared" ca="1" si="24"/>
        <v>27</v>
      </c>
      <c r="BD33" s="288">
        <f t="shared" ca="1" si="7"/>
        <v>19</v>
      </c>
      <c r="BF33" s="240" t="str">
        <f t="shared" ca="1" si="8"/>
        <v>Entergy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ETR</v>
      </c>
    </row>
    <row r="34" spans="1:61" ht="13.8" x14ac:dyDescent="0.25">
      <c r="A34" s="303" t="s">
        <v>11</v>
      </c>
      <c r="B34" s="304" t="s">
        <v>28</v>
      </c>
      <c r="C34" s="304">
        <v>18</v>
      </c>
      <c r="D34" s="304" t="s">
        <v>297</v>
      </c>
      <c r="E34" s="305" t="str">
        <f t="shared" ca="1" si="0"/>
        <v>MR</v>
      </c>
      <c r="F34" s="306"/>
      <c r="G34" s="307">
        <f t="shared" ca="1" si="1"/>
        <v>27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10</v>
      </c>
      <c r="AW34" s="234">
        <f>COUNTIF( AV$7:AV34, AV34 )</f>
        <v>7</v>
      </c>
      <c r="AX34" s="287">
        <f t="shared" si="22"/>
        <v>10.7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20</v>
      </c>
      <c r="BF34" s="240" t="str">
        <f t="shared" ca="1" si="8"/>
        <v>Exelon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EXC</v>
      </c>
    </row>
    <row r="35" spans="1:61" ht="13.8" x14ac:dyDescent="0.25">
      <c r="A35" s="303" t="s">
        <v>260</v>
      </c>
      <c r="B35" s="304" t="s">
        <v>28</v>
      </c>
      <c r="C35" s="304">
        <v>18</v>
      </c>
      <c r="D35" s="304" t="s">
        <v>300</v>
      </c>
      <c r="E35" s="305" t="str">
        <f t="shared" ca="1" si="0"/>
        <v>R</v>
      </c>
      <c r="F35" s="306"/>
      <c r="G35" s="307">
        <f t="shared" ca="1" si="1"/>
        <v>29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10</v>
      </c>
      <c r="AW35" s="234">
        <f>COUNTIF( AV$7:AV35, AV35 )</f>
        <v>8</v>
      </c>
      <c r="AX35" s="287">
        <f t="shared" si="22"/>
        <v>10.8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22</v>
      </c>
      <c r="BF35" s="240" t="str">
        <f t="shared" ca="1" si="8"/>
        <v>Great Plains Energy Inc.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GXP</v>
      </c>
    </row>
    <row r="36" spans="1:61" ht="13.8" x14ac:dyDescent="0.25">
      <c r="A36" s="303" t="s">
        <v>20</v>
      </c>
      <c r="B36" s="304" t="s">
        <v>28</v>
      </c>
      <c r="C36" s="304">
        <v>18</v>
      </c>
      <c r="D36" s="304" t="s">
        <v>302</v>
      </c>
      <c r="E36" s="305" t="str">
        <f t="shared" ca="1" si="0"/>
        <v>R</v>
      </c>
      <c r="F36" s="306"/>
      <c r="G36" s="307">
        <f t="shared" ca="1" si="1"/>
        <v>31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4</v>
      </c>
      <c r="AX36" s="287">
        <f t="shared" si="22"/>
        <v>2.4</v>
      </c>
      <c r="AY36" s="234">
        <f t="shared" si="23"/>
        <v>5</v>
      </c>
      <c r="AZ36" s="236"/>
      <c r="BA36" s="236"/>
      <c r="BC36" s="234">
        <f t="shared" ca="1" si="24"/>
        <v>30</v>
      </c>
      <c r="BD36" s="288">
        <f t="shared" ca="1" si="7"/>
        <v>25</v>
      </c>
      <c r="BF36" s="240" t="str">
        <f t="shared" ca="1" si="8"/>
        <v>IDACORP,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IDA</v>
      </c>
    </row>
    <row r="37" spans="1:61" ht="13.8" x14ac:dyDescent="0.25">
      <c r="A37" s="303" t="s">
        <v>66</v>
      </c>
      <c r="B37" s="304" t="s">
        <v>28</v>
      </c>
      <c r="C37" s="304">
        <v>18</v>
      </c>
      <c r="D37" s="304" t="s">
        <v>314</v>
      </c>
      <c r="E37" s="305" t="str">
        <f t="shared" ca="1" si="0"/>
        <v>R</v>
      </c>
      <c r="F37" s="306"/>
      <c r="G37" s="307">
        <f t="shared" ca="1" si="1"/>
        <v>38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39</v>
      </c>
      <c r="AW37" s="234">
        <f>COUNTIF( AV$7:AV37, AV37 )</f>
        <v>10</v>
      </c>
      <c r="AX37" s="287">
        <f t="shared" si="22"/>
        <v>40</v>
      </c>
      <c r="AY37" s="234">
        <f t="shared" si="23"/>
        <v>48</v>
      </c>
      <c r="AZ37" s="236"/>
      <c r="BA37" s="236"/>
      <c r="BC37" s="234">
        <f t="shared" ca="1" si="24"/>
        <v>31</v>
      </c>
      <c r="BD37" s="288">
        <f t="shared" ca="1" si="7"/>
        <v>33</v>
      </c>
      <c r="BF37" s="240" t="str">
        <f t="shared" ca="1" si="8"/>
        <v>NorthWestern Corporation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NWE</v>
      </c>
    </row>
    <row r="38" spans="1:61" ht="13.8" x14ac:dyDescent="0.25">
      <c r="A38" s="303" t="s">
        <v>53</v>
      </c>
      <c r="B38" s="304" t="s">
        <v>28</v>
      </c>
      <c r="C38" s="304">
        <v>18</v>
      </c>
      <c r="D38" s="304" t="s">
        <v>317</v>
      </c>
      <c r="E38" s="305" t="str">
        <f t="shared" ca="1" si="0"/>
        <v>R</v>
      </c>
      <c r="F38" s="306"/>
      <c r="G38" s="307">
        <f t="shared" ca="1" si="1"/>
        <v>44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5</v>
      </c>
      <c r="AX38" s="287">
        <f t="shared" si="22"/>
        <v>2.5</v>
      </c>
      <c r="AY38" s="234">
        <f t="shared" si="23"/>
        <v>6</v>
      </c>
      <c r="AZ38" s="236"/>
      <c r="BA38" s="236"/>
      <c r="BC38" s="234">
        <f t="shared" ca="1" si="24"/>
        <v>32</v>
      </c>
      <c r="BD38" s="288">
        <f t="shared" ca="1" si="7"/>
        <v>38</v>
      </c>
      <c r="BF38" s="240" t="str">
        <f t="shared" ca="1" si="8"/>
        <v>PG&amp;E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PCG</v>
      </c>
    </row>
    <row r="39" spans="1:61" ht="13.8" x14ac:dyDescent="0.25">
      <c r="A39" s="303" t="s">
        <v>41</v>
      </c>
      <c r="B39" s="304" t="s">
        <v>28</v>
      </c>
      <c r="C39" s="304">
        <v>18</v>
      </c>
      <c r="D39" s="304" t="s">
        <v>321</v>
      </c>
      <c r="E39" s="305" t="str">
        <f t="shared" ca="1" si="0"/>
        <v>R</v>
      </c>
      <c r="F39" s="306"/>
      <c r="G39" s="307">
        <f t="shared" ca="1" si="1"/>
        <v>45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9" t="s">
        <v>314</v>
      </c>
      <c r="AV39" s="234">
        <f t="shared" si="21"/>
        <v>23</v>
      </c>
      <c r="AW39" s="234">
        <f>COUNTIF( AV$7:AV39, AV39 )</f>
        <v>9</v>
      </c>
      <c r="AX39" s="287">
        <f t="shared" si="22"/>
        <v>23.9</v>
      </c>
      <c r="AY39" s="234">
        <f t="shared" si="23"/>
        <v>31</v>
      </c>
      <c r="AZ39" s="236"/>
      <c r="BA39" s="236"/>
      <c r="BC39" s="234">
        <f t="shared" ca="1" si="24"/>
        <v>33</v>
      </c>
      <c r="BD39" s="288">
        <f t="shared" ca="1" si="7"/>
        <v>39</v>
      </c>
      <c r="BF39" s="240" t="str">
        <f t="shared" ref="BF39:BF63" ca="1" si="25">OFFSET( AQ$6, $BD39, 0 )</f>
        <v>Pinnacle West Capital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PNW</v>
      </c>
    </row>
    <row r="40" spans="1:61" ht="13.8" x14ac:dyDescent="0.25">
      <c r="A40" s="303" t="s">
        <v>24</v>
      </c>
      <c r="B40" s="304" t="s">
        <v>28</v>
      </c>
      <c r="C40" s="304">
        <v>18</v>
      </c>
      <c r="D40" s="304" t="s">
        <v>323</v>
      </c>
      <c r="E40" s="305" t="str">
        <f t="shared" ca="1" si="0"/>
        <v>R</v>
      </c>
      <c r="F40" s="306"/>
      <c r="G40" s="307">
        <f t="shared" ca="1" si="1"/>
        <v>47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51</v>
      </c>
      <c r="AW40" s="234">
        <f>COUNTIF( AV$7:AV40, AV40 )</f>
        <v>1</v>
      </c>
      <c r="AX40" s="287">
        <f t="shared" si="22"/>
        <v>51.1</v>
      </c>
      <c r="AY40" s="234">
        <f t="shared" si="23"/>
        <v>51</v>
      </c>
      <c r="AZ40" s="236"/>
      <c r="BA40" s="236"/>
      <c r="BC40" s="234">
        <f t="shared" ca="1" si="24"/>
        <v>34</v>
      </c>
      <c r="BD40" s="288">
        <f t="shared" ca="1" si="7"/>
        <v>41</v>
      </c>
      <c r="BF40" s="240" t="str">
        <f t="shared" ca="1" si="25"/>
        <v>Portland General Electric Company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POR</v>
      </c>
    </row>
    <row r="41" spans="1:61" ht="13.8" x14ac:dyDescent="0.25">
      <c r="A41" s="303" t="s">
        <v>43</v>
      </c>
      <c r="B41" s="304" t="s">
        <v>28</v>
      </c>
      <c r="C41" s="304">
        <v>18</v>
      </c>
      <c r="D41" s="304" t="s">
        <v>324</v>
      </c>
      <c r="E41" s="305" t="str">
        <f t="shared" ca="1" si="0"/>
        <v>MR</v>
      </c>
      <c r="F41" s="306"/>
      <c r="G41" s="307">
        <f t="shared" ca="1" si="1"/>
        <v>48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10</v>
      </c>
      <c r="AW41" s="234">
        <f>COUNTIF( AV$7:AV41, AV41 )</f>
        <v>9</v>
      </c>
      <c r="AX41" s="287">
        <f t="shared" si="22"/>
        <v>10.9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42</v>
      </c>
      <c r="BF41" s="240" t="str">
        <f t="shared" ca="1" si="25"/>
        <v>PPL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PPL</v>
      </c>
    </row>
    <row r="42" spans="1:61" ht="13.8" x14ac:dyDescent="0.25">
      <c r="A42" s="303" t="s">
        <v>45</v>
      </c>
      <c r="B42" s="304" t="s">
        <v>28</v>
      </c>
      <c r="C42" s="304">
        <v>18</v>
      </c>
      <c r="D42" s="304" t="s">
        <v>318</v>
      </c>
      <c r="E42" s="305" t="str">
        <f t="shared" ca="1" si="0"/>
        <v>MR</v>
      </c>
      <c r="F42" s="306"/>
      <c r="G42" s="307">
        <f t="shared" ca="1" si="1"/>
        <v>50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39</v>
      </c>
      <c r="AW42" s="234">
        <f>COUNTIF( AV$7:AV42, AV42 )</f>
        <v>11</v>
      </c>
      <c r="AX42" s="287">
        <f t="shared" si="22"/>
        <v>40.1</v>
      </c>
      <c r="AY42" s="234">
        <f t="shared" si="23"/>
        <v>49</v>
      </c>
      <c r="AZ42" s="236"/>
      <c r="BA42" s="236"/>
      <c r="BC42" s="234">
        <f t="shared" ca="1" si="24"/>
        <v>36</v>
      </c>
      <c r="BD42" s="288">
        <f t="shared" ca="1" si="7"/>
        <v>43</v>
      </c>
      <c r="BF42" s="240" t="str">
        <f t="shared" ca="1" si="25"/>
        <v>Public Service Enterprise Group Incorporated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PEG</v>
      </c>
    </row>
    <row r="43" spans="1:61" ht="13.8" x14ac:dyDescent="0.25">
      <c r="A43" s="303" t="s">
        <v>75</v>
      </c>
      <c r="B43" s="304" t="s">
        <v>28</v>
      </c>
      <c r="C43" s="304">
        <v>18</v>
      </c>
      <c r="D43" s="304" t="s">
        <v>331</v>
      </c>
      <c r="E43" s="305" t="str">
        <f t="shared" ca="1" si="0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10</v>
      </c>
      <c r="AW43" s="234">
        <f>COUNTIF( AV$7:AV43, AV43 )</f>
        <v>10</v>
      </c>
      <c r="AX43" s="287">
        <f t="shared" si="22"/>
        <v>11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49</v>
      </c>
      <c r="BF43" s="240" t="str">
        <f t="shared" ca="1" si="25"/>
        <v>UIL Holdings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UIL</v>
      </c>
    </row>
    <row r="44" spans="1:61" ht="13.8" x14ac:dyDescent="0.25">
      <c r="A44" s="303" t="s">
        <v>59</v>
      </c>
      <c r="B44" s="304" t="s">
        <v>28</v>
      </c>
      <c r="C44" s="304">
        <v>18</v>
      </c>
      <c r="D44" s="304" t="s">
        <v>336</v>
      </c>
      <c r="E44" s="305" t="str">
        <f t="shared" ca="1" si="0"/>
        <v>R</v>
      </c>
      <c r="F44" s="306"/>
      <c r="G44" s="307">
        <f t="shared" ca="1" si="1"/>
        <v>59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6" t="s">
        <v>317</v>
      </c>
      <c r="AV44" s="234">
        <f t="shared" si="21"/>
        <v>23</v>
      </c>
      <c r="AW44" s="234">
        <f>COUNTIF( AV$7:AV44, AV44 )</f>
        <v>10</v>
      </c>
      <c r="AX44" s="287">
        <f t="shared" si="22"/>
        <v>24</v>
      </c>
      <c r="AY44" s="234">
        <f t="shared" si="23"/>
        <v>32</v>
      </c>
      <c r="AZ44" s="236"/>
      <c r="BA44" s="236"/>
      <c r="BC44" s="234">
        <f t="shared" ca="1" si="24"/>
        <v>38</v>
      </c>
      <c r="BD44" s="288">
        <f t="shared" ca="1" si="7"/>
        <v>51</v>
      </c>
      <c r="BF44" s="240" t="str">
        <f t="shared" ca="1" si="25"/>
        <v>Westar Energy, Inc.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WR</v>
      </c>
    </row>
    <row r="45" spans="1:61" ht="13.8" x14ac:dyDescent="0.25">
      <c r="A45" s="303" t="s">
        <v>9</v>
      </c>
      <c r="B45" s="304" t="s">
        <v>49</v>
      </c>
      <c r="C45" s="304">
        <v>17</v>
      </c>
      <c r="D45" s="304" t="s">
        <v>273</v>
      </c>
      <c r="E45" s="305" t="str">
        <f t="shared" ca="1" si="0"/>
        <v>R</v>
      </c>
      <c r="F45" s="306"/>
      <c r="G45" s="307">
        <f t="shared" ca="1" si="1"/>
        <v>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BBB-</v>
      </c>
      <c r="AL45" s="236">
        <f t="shared" ca="1" si="20"/>
        <v>17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23</v>
      </c>
      <c r="AW45" s="234">
        <f>COUNTIF( AV$7:AV45, AV45 )</f>
        <v>11</v>
      </c>
      <c r="AX45" s="287">
        <f t="shared" si="22"/>
        <v>24.1</v>
      </c>
      <c r="AY45" s="234">
        <f t="shared" si="23"/>
        <v>33</v>
      </c>
      <c r="AZ45" s="236"/>
      <c r="BA45" s="236"/>
      <c r="BC45" s="234">
        <f t="shared" ca="1" si="24"/>
        <v>39</v>
      </c>
      <c r="BD45" s="288">
        <f t="shared" ca="1" si="7"/>
        <v>3</v>
      </c>
      <c r="BF45" s="240" t="str">
        <f t="shared" ca="1" si="25"/>
        <v>Ameren Corporation</v>
      </c>
      <c r="BG45" s="240" t="str">
        <f t="shared" ca="1" si="9"/>
        <v>BBB-</v>
      </c>
      <c r="BH45" s="240">
        <f t="shared" ca="1" si="9"/>
        <v>17</v>
      </c>
      <c r="BI45" s="240" t="str">
        <f t="shared" ca="1" si="9"/>
        <v>AEE</v>
      </c>
    </row>
    <row r="46" spans="1:61" ht="13.8" x14ac:dyDescent="0.25">
      <c r="A46" s="303" t="s">
        <v>48</v>
      </c>
      <c r="B46" s="304" t="s">
        <v>49</v>
      </c>
      <c r="C46" s="304">
        <v>17</v>
      </c>
      <c r="D46" s="304" t="s">
        <v>279</v>
      </c>
      <c r="E46" s="305" t="str">
        <f t="shared" ca="1" si="0"/>
        <v>MR</v>
      </c>
      <c r="F46" s="306"/>
      <c r="G46" s="307">
        <f t="shared" ca="1" si="1"/>
        <v>12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39</v>
      </c>
      <c r="AW46" s="234">
        <f>COUNTIF( AV$7:AV46, AV46 )</f>
        <v>12</v>
      </c>
      <c r="AX46" s="287">
        <f t="shared" si="22"/>
        <v>40.200000000000003</v>
      </c>
      <c r="AY46" s="234">
        <f t="shared" si="23"/>
        <v>50</v>
      </c>
      <c r="AZ46" s="236"/>
      <c r="BA46" s="236"/>
      <c r="BC46" s="234">
        <f t="shared" ca="1" si="24"/>
        <v>40</v>
      </c>
      <c r="BD46" s="288">
        <f t="shared" ca="1" si="7"/>
        <v>6</v>
      </c>
      <c r="BF46" s="240" t="str">
        <f t="shared" ca="1" si="25"/>
        <v>Black Hills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BKH</v>
      </c>
    </row>
    <row r="47" spans="1:61" ht="13.8" x14ac:dyDescent="0.25">
      <c r="A47" s="303" t="s">
        <v>60</v>
      </c>
      <c r="B47" s="304" t="s">
        <v>49</v>
      </c>
      <c r="C47" s="304">
        <v>17</v>
      </c>
      <c r="D47" s="304" t="s">
        <v>283</v>
      </c>
      <c r="E47" s="305" t="str">
        <f t="shared" ca="1" si="0"/>
        <v>R</v>
      </c>
      <c r="F47" s="306"/>
      <c r="G47" s="307">
        <f t="shared" ca="1" si="1"/>
        <v>17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23</v>
      </c>
      <c r="AW47" s="234">
        <f>COUNTIF( AV$7:AV47, AV47 )</f>
        <v>12</v>
      </c>
      <c r="AX47" s="287">
        <f t="shared" si="22"/>
        <v>24.2</v>
      </c>
      <c r="AY47" s="234">
        <f t="shared" si="23"/>
        <v>34</v>
      </c>
      <c r="AZ47" s="236"/>
      <c r="BA47" s="236"/>
      <c r="BC47" s="234">
        <f t="shared" ca="1" si="24"/>
        <v>41</v>
      </c>
      <c r="BD47" s="288">
        <f t="shared" ca="1" si="7"/>
        <v>9</v>
      </c>
      <c r="BF47" s="240" t="str">
        <f t="shared" ca="1" si="25"/>
        <v>CMS Energy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CMS</v>
      </c>
    </row>
    <row r="48" spans="1:61" ht="13.8" x14ac:dyDescent="0.25">
      <c r="A48" s="303" t="s">
        <v>64</v>
      </c>
      <c r="B48" s="304" t="s">
        <v>49</v>
      </c>
      <c r="C48" s="304">
        <v>17</v>
      </c>
      <c r="D48" s="304" t="s">
        <v>442</v>
      </c>
      <c r="E48" s="305" t="str">
        <f t="shared" ca="1" si="0"/>
        <v>R</v>
      </c>
      <c r="F48" s="306"/>
      <c r="G48" s="307">
        <f t="shared" ca="1" si="1"/>
        <v>64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23</v>
      </c>
      <c r="AW48" s="234">
        <f>COUNTIF( AV$7:AV48, AV48 )</f>
        <v>13</v>
      </c>
      <c r="AX48" s="287">
        <f t="shared" si="22"/>
        <v>24.3</v>
      </c>
      <c r="AY48" s="234">
        <f t="shared" si="23"/>
        <v>35</v>
      </c>
      <c r="AZ48" s="236"/>
      <c r="BA48" s="236"/>
      <c r="BC48" s="234">
        <f t="shared" ca="1" si="24"/>
        <v>42</v>
      </c>
      <c r="BD48" s="288">
        <f t="shared" ca="1" si="7"/>
        <v>12</v>
      </c>
      <c r="BF48" s="240" t="str">
        <f t="shared" ca="1" si="25"/>
        <v>DPL Inc.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**DPL</v>
      </c>
    </row>
    <row r="49" spans="1:61" ht="13.8" x14ac:dyDescent="0.25">
      <c r="A49" s="303" t="s">
        <v>57</v>
      </c>
      <c r="B49" s="304" t="s">
        <v>49</v>
      </c>
      <c r="C49" s="304">
        <v>17</v>
      </c>
      <c r="D49" s="304" t="s">
        <v>295</v>
      </c>
      <c r="E49" s="305" t="str">
        <f t="shared" ca="1" si="0"/>
        <v>R</v>
      </c>
      <c r="F49" s="306"/>
      <c r="G49" s="307">
        <f t="shared" ca="1" si="1"/>
        <v>23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45</v>
      </c>
      <c r="AR49" s="286" t="s">
        <v>28</v>
      </c>
      <c r="AS49" s="286">
        <v>18</v>
      </c>
      <c r="AT49" s="286" t="s">
        <v>318</v>
      </c>
      <c r="AV49" s="234">
        <f t="shared" si="21"/>
        <v>23</v>
      </c>
      <c r="AW49" s="234">
        <f>COUNTIF( AV$7:AV49, AV49 )</f>
        <v>14</v>
      </c>
      <c r="AX49" s="287">
        <f t="shared" si="22"/>
        <v>24.4</v>
      </c>
      <c r="AY49" s="234">
        <f t="shared" si="23"/>
        <v>36</v>
      </c>
      <c r="AZ49" s="236"/>
      <c r="BA49" s="236"/>
      <c r="BC49" s="234">
        <f t="shared" ca="1" si="24"/>
        <v>43</v>
      </c>
      <c r="BD49" s="288">
        <f t="shared" ca="1" si="7"/>
        <v>15</v>
      </c>
      <c r="BF49" s="240" t="str">
        <f t="shared" ca="1" si="25"/>
        <v>Edison International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EIX</v>
      </c>
    </row>
    <row r="50" spans="1:61" ht="13.8" x14ac:dyDescent="0.25">
      <c r="A50" s="303" t="s">
        <v>35</v>
      </c>
      <c r="B50" s="304" t="s">
        <v>49</v>
      </c>
      <c r="C50" s="304">
        <v>17</v>
      </c>
      <c r="D50" s="304" t="s">
        <v>292</v>
      </c>
      <c r="E50" s="305" t="str">
        <f t="shared" ca="1" si="0"/>
        <v>R</v>
      </c>
      <c r="F50" s="306"/>
      <c r="G50" s="307">
        <f t="shared" ca="1" si="1"/>
        <v>25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54</v>
      </c>
      <c r="AR50" s="286" t="s">
        <v>56</v>
      </c>
      <c r="AS50" s="286">
        <v>16</v>
      </c>
      <c r="AT50" s="286" t="s">
        <v>448</v>
      </c>
      <c r="AV50" s="234">
        <f t="shared" si="21"/>
        <v>51</v>
      </c>
      <c r="AW50" s="234">
        <f>COUNTIF( AV$7:AV50, AV50 )</f>
        <v>2</v>
      </c>
      <c r="AX50" s="287">
        <f t="shared" si="22"/>
        <v>51.2</v>
      </c>
      <c r="AY50" s="234">
        <f t="shared" si="23"/>
        <v>52</v>
      </c>
      <c r="AZ50" s="236"/>
      <c r="BA50" s="236"/>
      <c r="BC50" s="234">
        <f t="shared" ca="1" si="24"/>
        <v>44</v>
      </c>
      <c r="BD50" s="288">
        <f t="shared" ca="1" si="7"/>
        <v>17</v>
      </c>
      <c r="BF50" s="240" t="str">
        <f t="shared" ca="1" si="25"/>
        <v>Empire District Electric Company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EDE</v>
      </c>
    </row>
    <row r="51" spans="1:61" ht="13.8" x14ac:dyDescent="0.25">
      <c r="A51" s="303" t="s">
        <v>51</v>
      </c>
      <c r="B51" s="304" t="s">
        <v>49</v>
      </c>
      <c r="C51" s="304">
        <v>17</v>
      </c>
      <c r="D51" s="304" t="s">
        <v>298</v>
      </c>
      <c r="E51" s="305" t="str">
        <f t="shared" ca="1" si="0"/>
        <v>MR</v>
      </c>
      <c r="F51" s="306"/>
      <c r="G51" s="307">
        <f t="shared" ca="1" si="1"/>
        <v>28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13</v>
      </c>
      <c r="AR51" s="286" t="s">
        <v>16</v>
      </c>
      <c r="AS51" s="286">
        <v>19</v>
      </c>
      <c r="AT51" s="286" t="s">
        <v>326</v>
      </c>
      <c r="AV51" s="234">
        <f t="shared" si="21"/>
        <v>10</v>
      </c>
      <c r="AW51" s="234">
        <f>COUNTIF( AV$7:AV51, AV51 )</f>
        <v>11</v>
      </c>
      <c r="AX51" s="287">
        <f t="shared" si="22"/>
        <v>11.1</v>
      </c>
      <c r="AY51" s="234">
        <f t="shared" si="23"/>
        <v>20</v>
      </c>
      <c r="AZ51" s="236"/>
      <c r="BA51" s="236"/>
      <c r="BC51" s="234">
        <f t="shared" ca="1" si="24"/>
        <v>45</v>
      </c>
      <c r="BD51" s="288">
        <f t="shared" ca="1" si="7"/>
        <v>21</v>
      </c>
      <c r="BF51" s="240" t="str">
        <f t="shared" ca="1" si="25"/>
        <v>FirstEnergy Corp.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FE</v>
      </c>
    </row>
    <row r="52" spans="1:61" ht="13.8" x14ac:dyDescent="0.25">
      <c r="A52" s="303" t="s">
        <v>39</v>
      </c>
      <c r="B52" s="304" t="s">
        <v>49</v>
      </c>
      <c r="C52" s="304">
        <v>17</v>
      </c>
      <c r="D52" s="304" t="s">
        <v>301</v>
      </c>
      <c r="E52" s="305" t="str">
        <f t="shared" ca="1" si="0"/>
        <v>D</v>
      </c>
      <c r="F52" s="306"/>
      <c r="G52" s="307">
        <f t="shared" ca="1" si="1"/>
        <v>30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25</v>
      </c>
      <c r="AR52" s="286" t="s">
        <v>16</v>
      </c>
      <c r="AS52" s="286">
        <v>19</v>
      </c>
      <c r="AT52" s="286" t="s">
        <v>328</v>
      </c>
      <c r="AV52" s="234">
        <f t="shared" si="21"/>
        <v>10</v>
      </c>
      <c r="AW52" s="234">
        <f>COUNTIF( AV$7:AV52, AV52 )</f>
        <v>12</v>
      </c>
      <c r="AX52" s="287">
        <f t="shared" si="22"/>
        <v>11.2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23</v>
      </c>
      <c r="BF52" s="240" t="str">
        <f t="shared" ca="1" si="25"/>
        <v>Hawaiian Electric Industries, Inc.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HE</v>
      </c>
    </row>
    <row r="53" spans="1:61" ht="13.8" x14ac:dyDescent="0.25">
      <c r="A53" s="303" t="s">
        <v>58</v>
      </c>
      <c r="B53" s="304" t="s">
        <v>49</v>
      </c>
      <c r="C53" s="304">
        <v>17</v>
      </c>
      <c r="D53" s="304" t="s">
        <v>445</v>
      </c>
      <c r="E53" s="305" t="str">
        <f t="shared" ca="1" si="0"/>
        <v>R</v>
      </c>
      <c r="F53" s="306"/>
      <c r="G53" s="307">
        <f t="shared" ca="1" si="1"/>
        <v>66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7</v>
      </c>
      <c r="AR53" s="286" t="s">
        <v>2</v>
      </c>
      <c r="AS53" s="286">
        <v>21</v>
      </c>
      <c r="AT53" s="286" t="s">
        <v>327</v>
      </c>
      <c r="AV53" s="234">
        <f t="shared" si="21"/>
        <v>1</v>
      </c>
      <c r="AW53" s="234">
        <f>COUNTIF( AV$7:AV53, AV53 )</f>
        <v>1</v>
      </c>
      <c r="AX53" s="287">
        <f t="shared" si="22"/>
        <v>1.1000000000000001</v>
      </c>
      <c r="AY53" s="234">
        <f t="shared" si="23"/>
        <v>1</v>
      </c>
      <c r="AZ53" s="236"/>
      <c r="BA53" s="236"/>
      <c r="BC53" s="234">
        <f t="shared" ca="1" si="24"/>
        <v>47</v>
      </c>
      <c r="BD53" s="288">
        <f t="shared" ca="1" si="7"/>
        <v>27</v>
      </c>
      <c r="BF53" s="240" t="str">
        <f t="shared" ca="1" si="25"/>
        <v>IPALCO Enterprises,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**IPALCO</v>
      </c>
    </row>
    <row r="54" spans="1:61" ht="13.8" x14ac:dyDescent="0.25">
      <c r="A54" s="303" t="s">
        <v>40</v>
      </c>
      <c r="B54" s="304" t="s">
        <v>49</v>
      </c>
      <c r="C54" s="304">
        <v>17</v>
      </c>
      <c r="D54" s="304" t="s">
        <v>310</v>
      </c>
      <c r="E54" s="305" t="str">
        <f t="shared" ca="1" si="0"/>
        <v>MR</v>
      </c>
      <c r="F54" s="306"/>
      <c r="G54" s="307">
        <f t="shared" ca="1" si="1"/>
        <v>36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62</v>
      </c>
      <c r="AR54" s="286" t="s">
        <v>16</v>
      </c>
      <c r="AS54" s="286">
        <v>19</v>
      </c>
      <c r="AT54" s="289" t="s">
        <v>329</v>
      </c>
      <c r="AV54" s="234">
        <f t="shared" si="21"/>
        <v>10</v>
      </c>
      <c r="AW54" s="234">
        <f>COUNTIF( AV$7:AV54, AV54 )</f>
        <v>13</v>
      </c>
      <c r="AX54" s="287">
        <f t="shared" si="22"/>
        <v>11.3</v>
      </c>
      <c r="AY54" s="234">
        <f t="shared" si="23"/>
        <v>22</v>
      </c>
      <c r="AZ54" s="236"/>
      <c r="BA54" s="236"/>
      <c r="BC54" s="234">
        <f t="shared" ca="1" si="24"/>
        <v>48</v>
      </c>
      <c r="BD54" s="288">
        <f t="shared" ca="1" si="7"/>
        <v>31</v>
      </c>
      <c r="BF54" s="240" t="str">
        <f t="shared" ca="1" si="25"/>
        <v>NiSource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NI</v>
      </c>
    </row>
    <row r="55" spans="1:61" ht="13.8" x14ac:dyDescent="0.25">
      <c r="A55" s="303" t="s">
        <v>22</v>
      </c>
      <c r="B55" s="304" t="s">
        <v>49</v>
      </c>
      <c r="C55" s="304">
        <v>17</v>
      </c>
      <c r="D55" s="304" t="s">
        <v>316</v>
      </c>
      <c r="E55" s="305" t="str">
        <f t="shared" ca="1" si="0"/>
        <v>MR</v>
      </c>
      <c r="F55" s="306"/>
      <c r="G55" s="307">
        <f t="shared" ca="1" si="1"/>
        <v>42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75</v>
      </c>
      <c r="AR55" s="286" t="s">
        <v>28</v>
      </c>
      <c r="AS55" s="286">
        <v>18</v>
      </c>
      <c r="AT55" s="286" t="s">
        <v>331</v>
      </c>
      <c r="AV55" s="234">
        <f t="shared" si="21"/>
        <v>23</v>
      </c>
      <c r="AW55" s="234">
        <f>COUNTIF( AV$7:AV55, AV55 )</f>
        <v>15</v>
      </c>
      <c r="AX55" s="287">
        <f t="shared" si="22"/>
        <v>24.5</v>
      </c>
      <c r="AY55" s="234">
        <f t="shared" si="23"/>
        <v>37</v>
      </c>
      <c r="AZ55" s="236"/>
      <c r="BA55" s="236"/>
      <c r="BC55" s="234">
        <f t="shared" ca="1" si="24"/>
        <v>49</v>
      </c>
      <c r="BD55" s="288">
        <f t="shared" ca="1" si="7"/>
        <v>36</v>
      </c>
      <c r="BF55" s="240" t="str">
        <f t="shared" ca="1" si="25"/>
        <v>Otter Tail Corporation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OTTR</v>
      </c>
    </row>
    <row r="56" spans="1:61" ht="13.8" x14ac:dyDescent="0.25">
      <c r="A56" s="303" t="s">
        <v>42</v>
      </c>
      <c r="B56" s="304" t="s">
        <v>49</v>
      </c>
      <c r="C56" s="304">
        <v>17</v>
      </c>
      <c r="D56" s="304" t="s">
        <v>320</v>
      </c>
      <c r="E56" s="305" t="str">
        <f t="shared" ca="1" si="0"/>
        <v>R</v>
      </c>
      <c r="F56" s="306"/>
      <c r="G56" s="307">
        <f t="shared" ca="1" si="1"/>
        <v>46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14</v>
      </c>
      <c r="AR56" s="286" t="s">
        <v>10</v>
      </c>
      <c r="AS56" s="286">
        <v>20</v>
      </c>
      <c r="AT56" s="286" t="s">
        <v>334</v>
      </c>
      <c r="AV56" s="234">
        <f t="shared" si="21"/>
        <v>2</v>
      </c>
      <c r="AW56" s="234">
        <f>COUNTIF( AV$7:AV56, AV56 )</f>
        <v>6</v>
      </c>
      <c r="AX56" s="287">
        <f t="shared" si="22"/>
        <v>2.6</v>
      </c>
      <c r="AY56" s="234">
        <f t="shared" si="23"/>
        <v>7</v>
      </c>
      <c r="AZ56" s="236"/>
      <c r="BA56" s="236"/>
      <c r="BC56" s="234">
        <f t="shared" ca="1" si="24"/>
        <v>50</v>
      </c>
      <c r="BD56" s="288">
        <f t="shared" ca="1" si="7"/>
        <v>40</v>
      </c>
      <c r="BF56" s="240" t="str">
        <f t="shared" ca="1" si="25"/>
        <v>PNM Resources,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PNM</v>
      </c>
    </row>
    <row r="57" spans="1:61" ht="13.8" x14ac:dyDescent="0.25">
      <c r="A57" s="303" t="s">
        <v>265</v>
      </c>
      <c r="B57" s="304" t="s">
        <v>56</v>
      </c>
      <c r="C57" s="304">
        <v>16</v>
      </c>
      <c r="D57" s="304" t="s">
        <v>313</v>
      </c>
      <c r="E57" s="305" t="str">
        <f t="shared" ca="1" si="0"/>
        <v>R</v>
      </c>
      <c r="F57" s="306"/>
      <c r="G57" s="307">
        <f t="shared" ca="1" si="1"/>
        <v>40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BB+</v>
      </c>
      <c r="AL57" s="236">
        <f t="shared" ca="1" si="20"/>
        <v>16</v>
      </c>
      <c r="AM57" s="236" t="str">
        <f t="shared" ca="1" si="5"/>
        <v/>
      </c>
      <c r="AQ57" s="286" t="s">
        <v>59</v>
      </c>
      <c r="AR57" s="286" t="s">
        <v>28</v>
      </c>
      <c r="AS57" s="286">
        <v>18</v>
      </c>
      <c r="AT57" s="286" t="s">
        <v>336</v>
      </c>
      <c r="AV57" s="234">
        <f t="shared" si="21"/>
        <v>23</v>
      </c>
      <c r="AW57" s="234">
        <f>COUNTIF( AV$7:AV57, AV57 )</f>
        <v>16</v>
      </c>
      <c r="AX57" s="287">
        <f t="shared" si="22"/>
        <v>24.6</v>
      </c>
      <c r="AY57" s="234">
        <f t="shared" si="23"/>
        <v>38</v>
      </c>
      <c r="AZ57" s="236"/>
      <c r="BA57" s="236"/>
      <c r="BC57" s="234">
        <f t="shared" ca="1" si="24"/>
        <v>51</v>
      </c>
      <c r="BD57" s="288">
        <f t="shared" ca="1" si="7"/>
        <v>34</v>
      </c>
      <c r="BF57" s="240" t="str">
        <f t="shared" ca="1" si="25"/>
        <v>NV Energy, Inc.</v>
      </c>
      <c r="BG57" s="240" t="str">
        <f t="shared" ca="1" si="9"/>
        <v>BB+</v>
      </c>
      <c r="BH57" s="240">
        <f t="shared" ca="1" si="9"/>
        <v>16</v>
      </c>
      <c r="BI57" s="240" t="str">
        <f t="shared" ca="1" si="9"/>
        <v>NVE</v>
      </c>
    </row>
    <row r="58" spans="1:61" ht="13.8" x14ac:dyDescent="0.25">
      <c r="A58" s="303" t="s">
        <v>54</v>
      </c>
      <c r="B58" s="304" t="s">
        <v>56</v>
      </c>
      <c r="C58" s="304">
        <v>16</v>
      </c>
      <c r="D58" s="304" t="s">
        <v>448</v>
      </c>
      <c r="E58" s="305" t="str">
        <f t="shared" ca="1" si="0"/>
        <v>R</v>
      </c>
      <c r="F58" s="306"/>
      <c r="G58" s="307">
        <f t="shared" ca="1" si="1"/>
        <v>68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26</v>
      </c>
      <c r="AR58" s="286" t="s">
        <v>10</v>
      </c>
      <c r="AS58" s="286">
        <v>20</v>
      </c>
      <c r="AT58" s="286" t="s">
        <v>335</v>
      </c>
      <c r="AV58" s="234">
        <f t="shared" si="21"/>
        <v>2</v>
      </c>
      <c r="AW58" s="234">
        <f>COUNTIF( AV$7:AV58, AV58 )</f>
        <v>7</v>
      </c>
      <c r="AX58" s="287">
        <f t="shared" si="22"/>
        <v>2.7</v>
      </c>
      <c r="AY58" s="234">
        <f t="shared" si="23"/>
        <v>8</v>
      </c>
      <c r="AZ58" s="236"/>
      <c r="BA58" s="236"/>
      <c r="BC58" s="234">
        <f t="shared" ca="1" si="24"/>
        <v>52</v>
      </c>
      <c r="BD58" s="288">
        <f t="shared" ca="1" si="7"/>
        <v>44</v>
      </c>
      <c r="BF58" s="240" t="str">
        <f t="shared" ca="1" si="25"/>
        <v>Puget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**PSD</v>
      </c>
    </row>
    <row r="59" spans="1:61" ht="13.8" x14ac:dyDescent="0.25">
      <c r="A59" s="303" t="s">
        <v>248</v>
      </c>
      <c r="B59" s="304" t="s">
        <v>125</v>
      </c>
      <c r="C59" s="304">
        <v>9</v>
      </c>
      <c r="D59" s="304" t="s">
        <v>444</v>
      </c>
      <c r="E59" s="305" t="str">
        <f t="shared" ca="1" si="0"/>
        <v>D</v>
      </c>
      <c r="F59" s="306"/>
      <c r="G59" s="307">
        <f t="shared" ca="1" si="1"/>
        <v>65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CCC</v>
      </c>
      <c r="AL59" s="236">
        <f t="shared" ca="1" si="20"/>
        <v>9</v>
      </c>
      <c r="AM59" s="236" t="str">
        <f t="shared" ca="1" si="5"/>
        <v/>
      </c>
      <c r="AQ59" s="286" t="s">
        <v>257</v>
      </c>
      <c r="AR59" s="286" t="s">
        <v>10</v>
      </c>
      <c r="AS59" s="286">
        <v>20</v>
      </c>
      <c r="AT59" s="286" t="s">
        <v>337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18</v>
      </c>
      <c r="BF59" s="240" t="str">
        <f t="shared" ca="1" si="25"/>
        <v>Energy Future Holdings Corp.</v>
      </c>
      <c r="BG59" s="240" t="str">
        <f t="shared" ca="1" si="9"/>
        <v>CCC</v>
      </c>
      <c r="BH59" s="240">
        <f t="shared" ca="1" si="9"/>
        <v>9</v>
      </c>
      <c r="BI59" s="240" t="str">
        <f t="shared" ca="1" si="9"/>
        <v>**EFH</v>
      </c>
    </row>
    <row r="60" spans="1:61" ht="13.8" x14ac:dyDescent="0.25">
      <c r="A60" s="247"/>
      <c r="B60" s="248"/>
      <c r="C60" s="248"/>
      <c r="D60" s="248"/>
      <c r="E60" s="249"/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9"/>
        <v/>
      </c>
      <c r="AJ60" s="236" t="e">
        <f t="shared" ca="1" si="4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5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</v>
      </c>
      <c r="AX60" s="287">
        <f t="shared" si="22"/>
        <v>99.1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7"/>
        <v>54</v>
      </c>
      <c r="BF60" s="240">
        <f t="shared" ca="1" si="25"/>
        <v>0</v>
      </c>
      <c r="BG60" s="240">
        <f t="shared" ca="1" si="9"/>
        <v>0</v>
      </c>
      <c r="BH60" s="240">
        <f t="shared" ca="1" si="9"/>
        <v>0</v>
      </c>
      <c r="BI60" s="240">
        <f t="shared" ca="1" si="9"/>
        <v>0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2</v>
      </c>
      <c r="AX61" s="287">
        <f t="shared" si="22"/>
        <v>99.2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62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3</v>
      </c>
      <c r="AX62" s="287">
        <f t="shared" si="22"/>
        <v>99.3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4</v>
      </c>
      <c r="AX63" s="287">
        <f t="shared" si="22"/>
        <v>99.4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65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18.232142857142858</v>
      </c>
      <c r="D68" s="276"/>
      <c r="E68" s="276"/>
      <c r="F68" s="250"/>
      <c r="H68" s="250"/>
      <c r="I68" s="250"/>
      <c r="J68" s="253"/>
      <c r="K68" s="253"/>
      <c r="AQ68" s="286" t="s">
        <v>50</v>
      </c>
      <c r="AR68" s="286" t="s">
        <v>372</v>
      </c>
      <c r="AS68" s="286"/>
      <c r="AT68" s="286" t="s">
        <v>286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18.321428571428573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Q2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Reg_Percent_2011</v>
      </c>
      <c r="G2" s="239" t="s">
        <v>436</v>
      </c>
      <c r="AJ2" s="240" t="str">
        <f>AJ4 &amp; AJ3</f>
        <v>'Credit_2012Q1'!a:a</v>
      </c>
      <c r="AK2" s="240" t="str">
        <f>AK4 &amp; AK3</f>
        <v>'Credit_2012Q1'!b1</v>
      </c>
      <c r="AL2" s="240" t="str">
        <f>AL4 &amp; AL3</f>
        <v>'Credit_2012Q1'!c1</v>
      </c>
    </row>
    <row r="3" spans="1:61" ht="18" hidden="1" outlineLevel="1" x14ac:dyDescent="0.25">
      <c r="A3" s="233"/>
      <c r="E3" s="241" t="str">
        <f>"'" &amp; E2 &amp; "'!"</f>
        <v>'Reg_Percent_2011'!</v>
      </c>
      <c r="G3" s="234" t="str">
        <f>"'" &amp; G2 &amp; "'!"</f>
        <v>'Reg_Percent_2011'!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479</v>
      </c>
      <c r="AK4" s="236" t="str">
        <f>AJ4</f>
        <v>'Credit_2012Q1'!</v>
      </c>
      <c r="AL4" s="236" t="str">
        <f>AK4</f>
        <v>'Credit_2012Q1'!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(57)</v>
      </c>
      <c r="M5" s="505"/>
      <c r="N5" s="314"/>
      <c r="O5" s="503" t="str">
        <f ca="1">"Regulated" &amp; CHAR( 10 ) &amp; "(" &amp; O14 &amp; ")"</f>
        <v>Regulated
(37)</v>
      </c>
      <c r="P5" s="507"/>
      <c r="Q5" s="314"/>
      <c r="R5" s="503" t="str">
        <f ca="1">"Mostly Regulated" &amp; CHAR( 10 ) &amp; "(" &amp; R14 &amp; ")"</f>
        <v>Mostly Regulated
(17)</v>
      </c>
      <c r="S5" s="507"/>
      <c r="T5" s="314"/>
      <c r="U5" s="503" t="str">
        <f ca="1">"Diversified" &amp; CHAR( 10 ) &amp; "(" &amp; U14 &amp; ")"</f>
        <v>Diversified
(2)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405</v>
      </c>
      <c r="C6" s="338" t="s">
        <v>470</v>
      </c>
      <c r="D6" s="301"/>
      <c r="E6" s="302">
        <v>40908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7</v>
      </c>
      <c r="B7" s="304" t="s">
        <v>2</v>
      </c>
      <c r="C7" s="304">
        <v>21</v>
      </c>
      <c r="D7" s="304" t="s">
        <v>327</v>
      </c>
      <c r="E7" s="305" t="str">
        <f t="shared" ref="E7:E59" ca="1" si="0">OFFSET( INDIRECT( E$3 &amp; E$4 ), $G7 - 1, 0 )</f>
        <v>R</v>
      </c>
      <c r="F7" s="306"/>
      <c r="G7" s="307">
        <f t="shared" ref="G7:G65" ca="1" si="1">IF( LEN( $D7 ) = 0, "", MATCH( $D7, INDIRECT( G$3 &amp; G$4 ), 0 ) )</f>
        <v>53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11</v>
      </c>
      <c r="AW7" s="234">
        <f>COUNTIF( AV7:AV$7, AV7 )</f>
        <v>1</v>
      </c>
      <c r="AX7" s="287">
        <f>AV7 + AW7 / 10</f>
        <v>11.1</v>
      </c>
      <c r="AY7" s="234">
        <f>RANK( AX7, $AX$7:$AX$63, 1 )</f>
        <v>11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48</v>
      </c>
      <c r="BF7" s="240" t="str">
        <f t="shared" ref="BF7:BF38" ca="1" si="8">OFFSET( AQ$6, $BD7, 0 )</f>
        <v>Southern Company</v>
      </c>
      <c r="BG7" s="240" t="str">
        <f t="shared" ref="BG7:BI62" ca="1" si="9">OFFSET( AR$6, $BD7, 0 )</f>
        <v>A</v>
      </c>
      <c r="BH7" s="240">
        <f t="shared" ca="1" si="9"/>
        <v>21</v>
      </c>
      <c r="BI7" s="240" t="str">
        <f t="shared" ca="1" si="9"/>
        <v>SO</v>
      </c>
    </row>
    <row r="8" spans="1:61" ht="13.8" x14ac:dyDescent="0.25">
      <c r="A8" s="303" t="s">
        <v>3</v>
      </c>
      <c r="B8" s="304" t="s">
        <v>10</v>
      </c>
      <c r="C8" s="304">
        <v>20</v>
      </c>
      <c r="D8" s="304" t="s">
        <v>291</v>
      </c>
      <c r="E8" s="305" t="str">
        <f t="shared" ca="1" si="0"/>
        <v>R</v>
      </c>
      <c r="F8" s="306"/>
      <c r="G8" s="307">
        <f t="shared" ca="1" si="1"/>
        <v>18</v>
      </c>
      <c r="H8" s="250"/>
      <c r="I8" s="317"/>
      <c r="J8" s="293" t="s">
        <v>138</v>
      </c>
      <c r="K8" s="317"/>
      <c r="L8" s="293">
        <f t="shared" ref="L8:L13" si="10">COUNTIF($C$7:$C$67,$X8)</f>
        <v>3</v>
      </c>
      <c r="M8" s="294">
        <f t="shared" ref="M8:M13" si="11">IF( L8 = 0, "", L8/L$14 )</f>
        <v>5.2631578947368418E-2</v>
      </c>
      <c r="N8" s="317"/>
      <c r="O8" s="293">
        <f t="shared" ref="O8:O13" ca="1" si="12">COUNTIFS( $E$7:$E$66, O$3, $C$7:$C$66, $X8 )</f>
        <v>2</v>
      </c>
      <c r="P8" s="294">
        <f t="shared" ref="P8:P13" ca="1" si="13">IF( O8 = 0, "", O8/O$14 )</f>
        <v>5.4054054054054057E-2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5.8823529411764705E-2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11</v>
      </c>
      <c r="AW8" s="234">
        <f>COUNTIF( AV$7:AV8, AV8 )</f>
        <v>2</v>
      </c>
      <c r="AX8" s="287">
        <f t="shared" ref="AX8:AX63" si="22">AV8 + AW8 / 10</f>
        <v>11.2</v>
      </c>
      <c r="AY8" s="234">
        <f t="shared" ref="AY8:AY63" si="23">RANK( AX8, $AX$7:$AX$63, 1 )</f>
        <v>12</v>
      </c>
      <c r="AZ8" s="236"/>
      <c r="BA8" s="236"/>
      <c r="BC8" s="234">
        <f ca="1">OFFSET( BC8, -1, 0 ) + 1</f>
        <v>2</v>
      </c>
      <c r="BD8" s="288">
        <f t="shared" ca="1" si="7"/>
        <v>10</v>
      </c>
      <c r="BF8" s="240" t="str">
        <f t="shared" ca="1" si="8"/>
        <v>Consolidated Edison, Inc.</v>
      </c>
      <c r="BG8" s="240" t="str">
        <f t="shared" ca="1" si="9"/>
        <v>A-</v>
      </c>
      <c r="BH8" s="240">
        <f t="shared" ca="1" si="9"/>
        <v>20</v>
      </c>
      <c r="BI8" s="240" t="str">
        <f t="shared" ca="1" si="9"/>
        <v>ED</v>
      </c>
    </row>
    <row r="9" spans="1:61" ht="13.8" x14ac:dyDescent="0.25">
      <c r="A9" s="303" t="s">
        <v>18</v>
      </c>
      <c r="B9" s="304" t="s">
        <v>10</v>
      </c>
      <c r="C9" s="304">
        <v>20</v>
      </c>
      <c r="D9" s="304" t="s">
        <v>86</v>
      </c>
      <c r="E9" s="305" t="str">
        <f t="shared" ca="1" si="0"/>
        <v>MR</v>
      </c>
      <c r="F9" s="306"/>
      <c r="G9" s="307">
        <f t="shared" ca="1" si="1"/>
        <v>20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0.15789473684210525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0.17647058823529413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40</v>
      </c>
      <c r="AW9" s="234">
        <f>COUNTIF( AV$7:AV9, AV9 )</f>
        <v>1</v>
      </c>
      <c r="AX9" s="287">
        <f t="shared" si="22"/>
        <v>40.1</v>
      </c>
      <c r="AY9" s="234">
        <f t="shared" si="23"/>
        <v>40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11</v>
      </c>
      <c r="BF9" s="240" t="str">
        <f t="shared" ca="1" si="8"/>
        <v>Dominion Resources,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D</v>
      </c>
    </row>
    <row r="10" spans="1:61" ht="13.8" x14ac:dyDescent="0.25">
      <c r="A10" s="303" t="s">
        <v>32</v>
      </c>
      <c r="B10" s="304" t="s">
        <v>10</v>
      </c>
      <c r="C10" s="304">
        <v>20</v>
      </c>
      <c r="D10" s="304" t="s">
        <v>289</v>
      </c>
      <c r="E10" s="305" t="str">
        <f t="shared" ca="1" si="0"/>
        <v>MR</v>
      </c>
      <c r="F10" s="306"/>
      <c r="G10" s="307">
        <f t="shared" ca="1" si="1"/>
        <v>22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0.22807017543859648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0.35294117647058826</v>
      </c>
      <c r="T10" s="318"/>
      <c r="U10" s="295">
        <f t="shared" ca="1" si="16"/>
        <v>1</v>
      </c>
      <c r="V10" s="296">
        <f t="shared" ca="1" si="17"/>
        <v>0.5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24</v>
      </c>
      <c r="AW10" s="234">
        <f>COUNTIF( AV$7:AV10, AV10 )</f>
        <v>1</v>
      </c>
      <c r="AX10" s="287">
        <f t="shared" si="22"/>
        <v>24.1</v>
      </c>
      <c r="AY10" s="234">
        <f t="shared" si="23"/>
        <v>24</v>
      </c>
      <c r="AZ10" s="236"/>
      <c r="BA10" s="236"/>
      <c r="BC10" s="234">
        <f t="shared" ca="1" si="24"/>
        <v>4</v>
      </c>
      <c r="BD10" s="288">
        <f t="shared" ca="1" si="7"/>
        <v>14</v>
      </c>
      <c r="BF10" s="240" t="str">
        <f t="shared" ca="1" si="8"/>
        <v>Duke Energy Corporation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DUK</v>
      </c>
    </row>
    <row r="11" spans="1:61" ht="13.8" x14ac:dyDescent="0.25">
      <c r="A11" s="303" t="s">
        <v>253</v>
      </c>
      <c r="B11" s="304" t="s">
        <v>10</v>
      </c>
      <c r="C11" s="304">
        <v>20</v>
      </c>
      <c r="D11" s="304" t="s">
        <v>330</v>
      </c>
      <c r="E11" s="305" t="str">
        <f t="shared" ca="1" si="0"/>
        <v>R</v>
      </c>
      <c r="F11" s="306"/>
      <c r="G11" s="307">
        <f t="shared" ca="1" si="1"/>
        <v>32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0.2807017543859649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0.17647058823529413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13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24</v>
      </c>
      <c r="AW11" s="234">
        <f>COUNTIF( AV$7:AV11, AV11 )</f>
        <v>2</v>
      </c>
      <c r="AX11" s="287">
        <f t="shared" si="22"/>
        <v>24.2</v>
      </c>
      <c r="AY11" s="234">
        <f t="shared" si="23"/>
        <v>25</v>
      </c>
      <c r="AZ11" s="236"/>
      <c r="BA11" s="236"/>
      <c r="BC11" s="234">
        <f t="shared" ca="1" si="24"/>
        <v>5</v>
      </c>
      <c r="BD11" s="288">
        <f t="shared" ca="1" si="7"/>
        <v>26</v>
      </c>
      <c r="BF11" s="240" t="str">
        <f t="shared" ca="1" si="8"/>
        <v>Integrys Energy Group, Inc.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TEG</v>
      </c>
    </row>
    <row r="12" spans="1:61" ht="13.8" x14ac:dyDescent="0.25">
      <c r="A12" s="303" t="s">
        <v>369</v>
      </c>
      <c r="B12" s="304" t="s">
        <v>10</v>
      </c>
      <c r="C12" s="304">
        <v>20</v>
      </c>
      <c r="D12" s="304" t="s">
        <v>368</v>
      </c>
      <c r="E12" s="305" t="str">
        <f t="shared" ca="1" si="0"/>
        <v>MR</v>
      </c>
      <c r="F12" s="306"/>
      <c r="G12" s="307">
        <f t="shared" ca="1" si="1"/>
        <v>35</v>
      </c>
      <c r="H12" s="250"/>
      <c r="I12" s="318"/>
      <c r="J12" s="295" t="s">
        <v>49</v>
      </c>
      <c r="K12" s="318"/>
      <c r="L12" s="295">
        <f t="shared" si="10"/>
        <v>12</v>
      </c>
      <c r="M12" s="296">
        <f t="shared" si="11"/>
        <v>0.21052631578947367</v>
      </c>
      <c r="N12" s="318"/>
      <c r="O12" s="295">
        <f t="shared" ca="1" si="12"/>
        <v>7</v>
      </c>
      <c r="P12" s="296">
        <f t="shared" ca="1" si="13"/>
        <v>0.1891891891891892</v>
      </c>
      <c r="Q12" s="318"/>
      <c r="R12" s="295">
        <f t="shared" ca="1" si="14"/>
        <v>4</v>
      </c>
      <c r="S12" s="296">
        <f t="shared" ca="1" si="15"/>
        <v>0.23529411764705882</v>
      </c>
      <c r="T12" s="318"/>
      <c r="U12" s="295">
        <f t="shared" ca="1" si="16"/>
        <v>1</v>
      </c>
      <c r="V12" s="296">
        <f t="shared" ca="1" si="17"/>
        <v>0.5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12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14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40</v>
      </c>
      <c r="AW12" s="234">
        <f>COUNTIF( AV$7:AV12, AV12 )</f>
        <v>2</v>
      </c>
      <c r="AX12" s="287">
        <f t="shared" si="22"/>
        <v>40.200000000000003</v>
      </c>
      <c r="AY12" s="234">
        <f t="shared" si="23"/>
        <v>41</v>
      </c>
      <c r="AZ12" s="236"/>
      <c r="BA12" s="236"/>
      <c r="BC12" s="234">
        <f t="shared" ca="1" si="24"/>
        <v>6</v>
      </c>
      <c r="BD12" s="288">
        <f t="shared" ca="1" si="7"/>
        <v>30</v>
      </c>
      <c r="BF12" s="240" t="str">
        <f t="shared" ca="1" si="8"/>
        <v>NextEra Energy, Inc.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NEE</v>
      </c>
    </row>
    <row r="13" spans="1:61" ht="13.8" x14ac:dyDescent="0.25">
      <c r="A13" s="303" t="s">
        <v>512</v>
      </c>
      <c r="B13" s="304" t="s">
        <v>10</v>
      </c>
      <c r="C13" s="304">
        <v>20</v>
      </c>
      <c r="D13" s="304" t="s">
        <v>511</v>
      </c>
      <c r="E13" s="305" t="str">
        <f t="shared" ca="1" si="0"/>
        <v>R</v>
      </c>
      <c r="F13" s="306"/>
      <c r="G13" s="307">
        <f t="shared" ca="1" si="1"/>
        <v>37</v>
      </c>
      <c r="H13" s="250"/>
      <c r="I13" s="319"/>
      <c r="J13" s="297" t="s">
        <v>79</v>
      </c>
      <c r="K13" s="319"/>
      <c r="L13" s="297">
        <f t="shared" si="10"/>
        <v>4</v>
      </c>
      <c r="M13" s="298">
        <f t="shared" si="11"/>
        <v>7.0175438596491224E-2</v>
      </c>
      <c r="N13" s="319"/>
      <c r="O13" s="297">
        <f t="shared" ca="1" si="12"/>
        <v>3</v>
      </c>
      <c r="P13" s="298">
        <f t="shared" ca="1" si="13"/>
        <v>8.1081081081081086E-2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0</v>
      </c>
      <c r="V13" s="298" t="str">
        <f t="shared" ca="1" si="17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3</v>
      </c>
      <c r="AE13" s="254"/>
      <c r="AF13" s="236">
        <f t="shared" si="2"/>
        <v>0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24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6" t="s">
        <v>285</v>
      </c>
      <c r="AV13" s="234">
        <f t="shared" si="21"/>
        <v>11</v>
      </c>
      <c r="AW13" s="234">
        <f>COUNTIF( AV$7:AV13, AV13 )</f>
        <v>3</v>
      </c>
      <c r="AX13" s="287">
        <f t="shared" si="22"/>
        <v>11.3</v>
      </c>
      <c r="AY13" s="234">
        <f t="shared" si="23"/>
        <v>13</v>
      </c>
      <c r="AZ13" s="236"/>
      <c r="BA13" s="236"/>
      <c r="BC13" s="234">
        <f t="shared" ca="1" si="24"/>
        <v>7</v>
      </c>
      <c r="BD13" s="288">
        <f t="shared" ca="1" si="7"/>
        <v>32</v>
      </c>
      <c r="BF13" s="240" t="str">
        <f t="shared" ca="1" si="8"/>
        <v>Eversource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ES</v>
      </c>
    </row>
    <row r="14" spans="1:61" ht="13.8" x14ac:dyDescent="0.25">
      <c r="A14" s="303" t="s">
        <v>14</v>
      </c>
      <c r="B14" s="304" t="s">
        <v>10</v>
      </c>
      <c r="C14" s="304">
        <v>20</v>
      </c>
      <c r="D14" s="304" t="s">
        <v>334</v>
      </c>
      <c r="E14" s="305" t="str">
        <f t="shared" ca="1" si="0"/>
        <v>R</v>
      </c>
      <c r="F14" s="306"/>
      <c r="G14" s="307">
        <f t="shared" ca="1" si="1"/>
        <v>58</v>
      </c>
      <c r="H14" s="250"/>
      <c r="I14" s="320"/>
      <c r="J14" s="291" t="s">
        <v>80</v>
      </c>
      <c r="K14" s="320"/>
      <c r="L14" s="291">
        <f>SUM(L8:L13)</f>
        <v>57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17</v>
      </c>
      <c r="S14" s="292">
        <f ca="1">R14/R$14</f>
        <v>1</v>
      </c>
      <c r="T14" s="320"/>
      <c r="U14" s="291">
        <f ca="1">SUM(U8:U13)</f>
        <v>2</v>
      </c>
      <c r="V14" s="292">
        <f ca="1">U14/U$14</f>
        <v>1</v>
      </c>
      <c r="W14" s="320"/>
      <c r="Y14" s="261">
        <f>SUMPRODUCT( L8:L13, Y8:Y13 ) / L14</f>
        <v>18.350877192982455</v>
      </c>
      <c r="Z14" s="261"/>
      <c r="AA14" s="260">
        <f ca="1">SUM(AA8:AA13)</f>
        <v>56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15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24</v>
      </c>
      <c r="AW14" s="234">
        <f>COUNTIF( AV$7:AV14, AV14 )</f>
        <v>3</v>
      </c>
      <c r="AX14" s="287">
        <f t="shared" si="22"/>
        <v>24.3</v>
      </c>
      <c r="AY14" s="234">
        <f t="shared" si="23"/>
        <v>26</v>
      </c>
      <c r="AZ14" s="236"/>
      <c r="BA14" s="236"/>
      <c r="BC14" s="234">
        <f t="shared" ca="1" si="24"/>
        <v>8</v>
      </c>
      <c r="BD14" s="288">
        <f t="shared" ca="1" si="7"/>
        <v>51</v>
      </c>
      <c r="BF14" s="240" t="str">
        <f t="shared" ca="1" si="8"/>
        <v>Vectren Corporation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VVC</v>
      </c>
    </row>
    <row r="15" spans="1:61" ht="13.8" x14ac:dyDescent="0.25">
      <c r="A15" s="303" t="s">
        <v>26</v>
      </c>
      <c r="B15" s="304" t="s">
        <v>10</v>
      </c>
      <c r="C15" s="304">
        <v>20</v>
      </c>
      <c r="D15" s="304" t="s">
        <v>335</v>
      </c>
      <c r="E15" s="305" t="str">
        <f t="shared" ca="1" si="0"/>
        <v>R</v>
      </c>
      <c r="F15" s="306"/>
      <c r="G15" s="307">
        <f t="shared" ca="1" si="1"/>
        <v>60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16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40</v>
      </c>
      <c r="AW15" s="234">
        <f>COUNTIF( AV$7:AV15, AV15 )</f>
        <v>3</v>
      </c>
      <c r="AX15" s="287">
        <f t="shared" si="22"/>
        <v>40.299999999999997</v>
      </c>
      <c r="AY15" s="234">
        <f t="shared" si="23"/>
        <v>42</v>
      </c>
      <c r="AZ15" s="236"/>
      <c r="BA15" s="236"/>
      <c r="BC15" s="234">
        <f t="shared" ca="1" si="24"/>
        <v>9</v>
      </c>
      <c r="BD15" s="288">
        <f t="shared" ca="1" si="7"/>
        <v>53</v>
      </c>
      <c r="BF15" s="240" t="str">
        <f t="shared" ca="1" si="8"/>
        <v>Wisconsin Energy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WEC</v>
      </c>
    </row>
    <row r="16" spans="1:61" ht="13.8" x14ac:dyDescent="0.25">
      <c r="A16" s="303" t="s">
        <v>257</v>
      </c>
      <c r="B16" s="304" t="s">
        <v>10</v>
      </c>
      <c r="C16" s="304">
        <v>20</v>
      </c>
      <c r="D16" s="304" t="s">
        <v>337</v>
      </c>
      <c r="E16" s="305" t="str">
        <f t="shared" ca="1" si="0"/>
        <v>R</v>
      </c>
      <c r="F16" s="306"/>
      <c r="G16" s="307">
        <f t="shared" ca="1" si="1"/>
        <v>61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18.263157894736842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18.297297297297298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18.764705882352942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18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17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2</v>
      </c>
      <c r="AW16" s="234">
        <f>COUNTIF( AV$7:AV16, AV16 )</f>
        <v>1</v>
      </c>
      <c r="AX16" s="287">
        <f t="shared" si="22"/>
        <v>2.1</v>
      </c>
      <c r="AY16" s="234">
        <f t="shared" si="23"/>
        <v>2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Xcel Energy Inc.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XEL</v>
      </c>
    </row>
    <row r="17" spans="1:61" ht="13.8" x14ac:dyDescent="0.25">
      <c r="A17" s="303" t="s">
        <v>15</v>
      </c>
      <c r="B17" s="304" t="s">
        <v>16</v>
      </c>
      <c r="C17" s="304">
        <v>19</v>
      </c>
      <c r="D17" s="304" t="s">
        <v>276</v>
      </c>
      <c r="E17" s="305" t="str">
        <f t="shared" ca="1" si="0"/>
        <v>R</v>
      </c>
      <c r="F17" s="306"/>
      <c r="G17" s="307">
        <f t="shared" ca="1" si="1"/>
        <v>7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18</v>
      </c>
      <c r="AK17" s="236" t="str">
        <f t="shared" ca="1" si="20"/>
        <v>BBB+</v>
      </c>
      <c r="AL17" s="236">
        <f t="shared" ca="1" si="20"/>
        <v>19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2</v>
      </c>
      <c r="AW17" s="234">
        <f>COUNTIF( AV$7:AV17, AV17 )</f>
        <v>2</v>
      </c>
      <c r="AX17" s="287">
        <f t="shared" si="22"/>
        <v>2.2000000000000002</v>
      </c>
      <c r="AY17" s="234">
        <f t="shared" si="23"/>
        <v>3</v>
      </c>
      <c r="AZ17" s="236"/>
      <c r="BA17" s="236"/>
      <c r="BC17" s="234">
        <f t="shared" ca="1" si="24"/>
        <v>11</v>
      </c>
      <c r="BD17" s="288">
        <f t="shared" ca="1" si="7"/>
        <v>1</v>
      </c>
      <c r="BF17" s="240" t="str">
        <f t="shared" ca="1" si="8"/>
        <v>ALLETE, Inc.</v>
      </c>
      <c r="BG17" s="240" t="str">
        <f t="shared" ca="1" si="9"/>
        <v>BBB+</v>
      </c>
      <c r="BH17" s="240">
        <f t="shared" ca="1" si="9"/>
        <v>19</v>
      </c>
      <c r="BI17" s="240" t="str">
        <f t="shared" ca="1" si="9"/>
        <v>ALE</v>
      </c>
    </row>
    <row r="18" spans="1:61" ht="13.8" x14ac:dyDescent="0.25">
      <c r="A18" s="303" t="s">
        <v>17</v>
      </c>
      <c r="B18" s="304" t="s">
        <v>16</v>
      </c>
      <c r="C18" s="304">
        <v>19</v>
      </c>
      <c r="D18" s="304" t="s">
        <v>306</v>
      </c>
      <c r="E18" s="305" t="str">
        <f t="shared" ca="1" si="0"/>
        <v>R</v>
      </c>
      <c r="F18" s="306"/>
      <c r="G18" s="307">
        <f t="shared" ca="1" si="1"/>
        <v>8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19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40</v>
      </c>
      <c r="AW18" s="234">
        <f>COUNTIF( AV$7:AV18, AV18 )</f>
        <v>4</v>
      </c>
      <c r="AX18" s="287">
        <f t="shared" si="22"/>
        <v>40.4</v>
      </c>
      <c r="AY18" s="234">
        <f t="shared" si="23"/>
        <v>43</v>
      </c>
      <c r="AZ18" s="236"/>
      <c r="BA18" s="236"/>
      <c r="BC18" s="234">
        <f t="shared" ca="1" si="24"/>
        <v>12</v>
      </c>
      <c r="BD18" s="288">
        <f t="shared" ca="1" si="7"/>
        <v>2</v>
      </c>
      <c r="BF18" s="240" t="str">
        <f t="shared" ca="1" si="8"/>
        <v>Alliant Energy Corporation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LNT</v>
      </c>
    </row>
    <row r="19" spans="1:61" ht="13.8" x14ac:dyDescent="0.25">
      <c r="A19" s="303" t="s">
        <v>29</v>
      </c>
      <c r="B19" s="304" t="s">
        <v>16</v>
      </c>
      <c r="C19" s="304">
        <v>19</v>
      </c>
      <c r="D19" s="304" t="s">
        <v>285</v>
      </c>
      <c r="E19" s="305" t="str">
        <f t="shared" ca="1" si="0"/>
        <v>MR</v>
      </c>
      <c r="F19" s="306"/>
      <c r="G19" s="307">
        <f t="shared" ca="1" si="1"/>
        <v>13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20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9" t="s">
        <v>288</v>
      </c>
      <c r="AV19" s="234">
        <f t="shared" si="21"/>
        <v>11</v>
      </c>
      <c r="AW19" s="234">
        <f>COUNTIF( AV$7:AV19, AV19 )</f>
        <v>4</v>
      </c>
      <c r="AX19" s="287">
        <f t="shared" si="22"/>
        <v>11.4</v>
      </c>
      <c r="AY19" s="234">
        <f t="shared" si="23"/>
        <v>14</v>
      </c>
      <c r="AZ19" s="236"/>
      <c r="BA19" s="236"/>
      <c r="BC19" s="234">
        <f t="shared" ca="1" si="24"/>
        <v>13</v>
      </c>
      <c r="BD19" s="288">
        <f t="shared" ca="1" si="7"/>
        <v>7</v>
      </c>
      <c r="BF19" s="240" t="str">
        <f t="shared" ca="1" si="8"/>
        <v>CenterPoint Energy, Inc.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CNP</v>
      </c>
    </row>
    <row r="20" spans="1:61" ht="13.8" x14ac:dyDescent="0.25">
      <c r="A20" s="303" t="s">
        <v>31</v>
      </c>
      <c r="B20" s="304" t="s">
        <v>16</v>
      </c>
      <c r="C20" s="304">
        <v>19</v>
      </c>
      <c r="D20" s="304" t="s">
        <v>288</v>
      </c>
      <c r="E20" s="305" t="str">
        <f t="shared" ca="1" si="0"/>
        <v>R</v>
      </c>
      <c r="F20" s="306"/>
      <c r="G20" s="307">
        <f t="shared" ca="1" si="1"/>
        <v>21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21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9" t="s">
        <v>289</v>
      </c>
      <c r="AV20" s="234">
        <f t="shared" si="21"/>
        <v>2</v>
      </c>
      <c r="AW20" s="234">
        <f>COUNTIF( AV$7:AV20, AV20 )</f>
        <v>3</v>
      </c>
      <c r="AX20" s="287">
        <f t="shared" si="22"/>
        <v>2.2999999999999998</v>
      </c>
      <c r="AY20" s="234">
        <f t="shared" si="23"/>
        <v>4</v>
      </c>
      <c r="AZ20" s="236"/>
      <c r="BA20" s="236"/>
      <c r="BC20" s="234">
        <f t="shared" ca="1" si="24"/>
        <v>14</v>
      </c>
      <c r="BD20" s="288">
        <f t="shared" ca="1" si="7"/>
        <v>13</v>
      </c>
      <c r="BF20" s="240" t="str">
        <f t="shared" ca="1" si="8"/>
        <v>DTE Energy Company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DTE</v>
      </c>
    </row>
    <row r="21" spans="1:61" ht="13.8" x14ac:dyDescent="0.25">
      <c r="A21" s="303" t="s">
        <v>451</v>
      </c>
      <c r="B21" s="304" t="s">
        <v>16</v>
      </c>
      <c r="C21" s="304">
        <v>19</v>
      </c>
      <c r="D21" s="304" t="s">
        <v>443</v>
      </c>
      <c r="E21" s="305" t="str">
        <f t="shared" ca="1" si="0"/>
        <v>R</v>
      </c>
      <c r="F21" s="306"/>
      <c r="G21" s="307">
        <f t="shared" ca="1" si="1"/>
        <v>63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>
        <f t="shared" ca="1" si="19"/>
        <v>1</v>
      </c>
      <c r="AJ21" s="236">
        <f t="shared" ca="1" si="4"/>
        <v>12</v>
      </c>
      <c r="AK21" s="236" t="str">
        <f t="shared" ca="1" si="20"/>
        <v>A-</v>
      </c>
      <c r="AL21" s="236">
        <f t="shared" ca="1" si="20"/>
        <v>20</v>
      </c>
      <c r="AM21" s="236" t="str">
        <f t="shared" ca="1" si="5"/>
        <v>Change</v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40</v>
      </c>
      <c r="AW21" s="234">
        <f>COUNTIF( AV$7:AV21, AV21 )</f>
        <v>5</v>
      </c>
      <c r="AX21" s="287">
        <f t="shared" si="22"/>
        <v>40.5</v>
      </c>
      <c r="AY21" s="234">
        <f t="shared" si="23"/>
        <v>44</v>
      </c>
      <c r="AZ21" s="236"/>
      <c r="BA21" s="236"/>
      <c r="BC21" s="234">
        <f t="shared" ca="1" si="24"/>
        <v>15</v>
      </c>
      <c r="BD21" s="288">
        <f t="shared" ca="1" si="7"/>
        <v>24</v>
      </c>
      <c r="BF21" s="240" t="str">
        <f t="shared" ca="1" si="8"/>
        <v>Iberdrola USA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**EAST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24</v>
      </c>
      <c r="AW22" s="234">
        <f>COUNTIF( AV$7:AV22, AV22 )</f>
        <v>4</v>
      </c>
      <c r="AX22" s="287">
        <f t="shared" si="22"/>
        <v>24.4</v>
      </c>
      <c r="AY22" s="234">
        <f t="shared" si="23"/>
        <v>27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40</v>
      </c>
      <c r="AW23" s="234">
        <f>COUNTIF( AV$7:AV23, AV23 )</f>
        <v>6</v>
      </c>
      <c r="AX23" s="287">
        <f t="shared" si="22"/>
        <v>40.6</v>
      </c>
      <c r="AY23" s="234">
        <f t="shared" si="23"/>
        <v>45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21</v>
      </c>
      <c r="B24" s="304" t="s">
        <v>16</v>
      </c>
      <c r="C24" s="304">
        <v>19</v>
      </c>
      <c r="D24" s="304" t="s">
        <v>315</v>
      </c>
      <c r="E24" s="305" t="str">
        <f t="shared" ca="1" si="0"/>
        <v>MR</v>
      </c>
      <c r="F24" s="306"/>
      <c r="G24" s="307">
        <f t="shared" ca="1" si="1"/>
        <v>41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25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54</v>
      </c>
      <c r="AW24" s="234">
        <f>COUNTIF( AV$7:AV24, AV24 )</f>
        <v>1</v>
      </c>
      <c r="AX24" s="287">
        <f t="shared" si="22"/>
        <v>54.1</v>
      </c>
      <c r="AY24" s="234">
        <f t="shared" si="23"/>
        <v>54</v>
      </c>
      <c r="AZ24" s="236"/>
      <c r="BA24" s="236"/>
      <c r="BC24" s="234">
        <f t="shared" ca="1" si="24"/>
        <v>18</v>
      </c>
      <c r="BD24" s="288">
        <f t="shared" ca="1" si="7"/>
        <v>35</v>
      </c>
      <c r="BF24" s="240" t="str">
        <f t="shared" ca="1" si="8"/>
        <v>OGE Energy Corp.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OGE</v>
      </c>
    </row>
    <row r="25" spans="1:61" ht="13.8" x14ac:dyDescent="0.25">
      <c r="A25" s="303" t="s">
        <v>23</v>
      </c>
      <c r="B25" s="304" t="s">
        <v>16</v>
      </c>
      <c r="C25" s="304">
        <v>19</v>
      </c>
      <c r="D25" s="304" t="s">
        <v>322</v>
      </c>
      <c r="E25" s="305" t="str">
        <f t="shared" ca="1" si="0"/>
        <v>MR</v>
      </c>
      <c r="F25" s="306"/>
      <c r="G25" s="307">
        <f t="shared" ca="1" si="1"/>
        <v>43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26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24</v>
      </c>
      <c r="AW25" s="234">
        <f>COUNTIF( AV$7:AV25, AV25 )</f>
        <v>5</v>
      </c>
      <c r="AX25" s="287">
        <f t="shared" si="22"/>
        <v>24.5</v>
      </c>
      <c r="AY25" s="234">
        <f t="shared" si="23"/>
        <v>28</v>
      </c>
      <c r="AZ25" s="236"/>
      <c r="BA25" s="236"/>
      <c r="BC25" s="234">
        <f t="shared" ca="1" si="24"/>
        <v>19</v>
      </c>
      <c r="BD25" s="288">
        <f t="shared" ca="1" si="7"/>
        <v>37</v>
      </c>
      <c r="BF25" s="240" t="str">
        <f t="shared" ca="1" si="8"/>
        <v>Pepco Holdings, Inc.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POM</v>
      </c>
    </row>
    <row r="26" spans="1:61" ht="13.8" x14ac:dyDescent="0.25">
      <c r="A26" s="303" t="s">
        <v>256</v>
      </c>
      <c r="B26" s="304" t="s">
        <v>16</v>
      </c>
      <c r="C26" s="304">
        <v>19</v>
      </c>
      <c r="D26" s="304" t="s">
        <v>319</v>
      </c>
      <c r="E26" s="305" t="str">
        <f t="shared" ca="1" si="0"/>
        <v>R</v>
      </c>
      <c r="F26" s="306"/>
      <c r="G26" s="307">
        <f t="shared" ca="1" si="1"/>
        <v>49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27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24</v>
      </c>
      <c r="AW26" s="234">
        <f>COUNTIF( AV$7:AV26, AV26 )</f>
        <v>6</v>
      </c>
      <c r="AX26" s="287">
        <f t="shared" si="22"/>
        <v>24.6</v>
      </c>
      <c r="AY26" s="234">
        <f t="shared" si="23"/>
        <v>29</v>
      </c>
      <c r="AZ26" s="236"/>
      <c r="BA26" s="236"/>
      <c r="BC26" s="234">
        <f t="shared" ca="1" si="24"/>
        <v>20</v>
      </c>
      <c r="BD26" s="288">
        <f t="shared" ca="1" si="7"/>
        <v>43</v>
      </c>
      <c r="BF26" s="240" t="str">
        <f t="shared" ca="1" si="8"/>
        <v>Progress Energy,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PGN</v>
      </c>
    </row>
    <row r="27" spans="1:61" ht="13.8" x14ac:dyDescent="0.25">
      <c r="A27" s="303" t="s">
        <v>13</v>
      </c>
      <c r="B27" s="304" t="s">
        <v>16</v>
      </c>
      <c r="C27" s="304">
        <v>19</v>
      </c>
      <c r="D27" s="304" t="s">
        <v>326</v>
      </c>
      <c r="E27" s="305" t="str">
        <f t="shared" ca="1" si="0"/>
        <v>MR</v>
      </c>
      <c r="F27" s="306"/>
      <c r="G27" s="307">
        <f t="shared" ca="1" si="1"/>
        <v>51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28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40</v>
      </c>
      <c r="AW27" s="234">
        <f>COUNTIF( AV$7:AV27, AV27 )</f>
        <v>7</v>
      </c>
      <c r="AX27" s="287">
        <f t="shared" si="22"/>
        <v>40.700000000000003</v>
      </c>
      <c r="AY27" s="234">
        <f t="shared" si="23"/>
        <v>46</v>
      </c>
      <c r="AZ27" s="236"/>
      <c r="BA27" s="236"/>
      <c r="BC27" s="234">
        <f t="shared" ca="1" si="24"/>
        <v>21</v>
      </c>
      <c r="BD27" s="288">
        <f t="shared" ca="1" si="7"/>
        <v>46</v>
      </c>
      <c r="BF27" s="240" t="str">
        <f t="shared" ca="1" si="8"/>
        <v>SCANA Corporation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SCG</v>
      </c>
    </row>
    <row r="28" spans="1:61" ht="13.8" x14ac:dyDescent="0.25">
      <c r="A28" s="303" t="s">
        <v>25</v>
      </c>
      <c r="B28" s="304" t="s">
        <v>16</v>
      </c>
      <c r="C28" s="304">
        <v>19</v>
      </c>
      <c r="D28" s="304" t="s">
        <v>328</v>
      </c>
      <c r="E28" s="305" t="str">
        <f t="shared" ca="1" si="0"/>
        <v>MR</v>
      </c>
      <c r="F28" s="306"/>
      <c r="G28" s="307">
        <f t="shared" ca="1" si="1"/>
        <v>52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29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24</v>
      </c>
      <c r="AW28" s="234">
        <f>COUNTIF( AV$7:AV28, AV28 )</f>
        <v>7</v>
      </c>
      <c r="AX28" s="287">
        <f t="shared" si="22"/>
        <v>24.7</v>
      </c>
      <c r="AY28" s="234">
        <f t="shared" si="23"/>
        <v>30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Sempra Energy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SRE</v>
      </c>
    </row>
    <row r="29" spans="1:61" ht="13.8" x14ac:dyDescent="0.25">
      <c r="A29" s="303" t="s">
        <v>62</v>
      </c>
      <c r="B29" s="304" t="s">
        <v>16</v>
      </c>
      <c r="C29" s="304">
        <v>19</v>
      </c>
      <c r="D29" s="304" t="s">
        <v>329</v>
      </c>
      <c r="E29" s="305" t="str">
        <f t="shared" ca="1" si="0"/>
        <v>R</v>
      </c>
      <c r="F29" s="306"/>
      <c r="G29" s="307">
        <f t="shared" ca="1" si="1"/>
        <v>54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30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40</v>
      </c>
      <c r="AW29" s="234">
        <f>COUNTIF( AV$7:AV29, AV29 )</f>
        <v>8</v>
      </c>
      <c r="AX29" s="287">
        <f t="shared" si="22"/>
        <v>40.799999999999997</v>
      </c>
      <c r="AY29" s="234">
        <f t="shared" si="23"/>
        <v>47</v>
      </c>
      <c r="AZ29" s="236"/>
      <c r="BA29" s="236"/>
      <c r="BC29" s="234">
        <f t="shared" ca="1" si="24"/>
        <v>23</v>
      </c>
      <c r="BD29" s="288">
        <f t="shared" ca="1" si="7"/>
        <v>49</v>
      </c>
      <c r="BF29" s="240" t="str">
        <f t="shared" ca="1" si="8"/>
        <v>TECO Energy, Inc.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TE</v>
      </c>
    </row>
    <row r="30" spans="1:61" ht="13.8" x14ac:dyDescent="0.25">
      <c r="A30" s="303" t="s">
        <v>258</v>
      </c>
      <c r="B30" s="304" t="s">
        <v>28</v>
      </c>
      <c r="C30" s="304">
        <v>18</v>
      </c>
      <c r="D30" s="304" t="s">
        <v>274</v>
      </c>
      <c r="E30" s="305" t="str">
        <f t="shared" ca="1" si="0"/>
        <v>R</v>
      </c>
      <c r="F30" s="306"/>
      <c r="G30" s="307">
        <f t="shared" ca="1" si="1"/>
        <v>10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31</v>
      </c>
      <c r="AK30" s="236" t="str">
        <f t="shared" ca="1" si="20"/>
        <v>BBB</v>
      </c>
      <c r="AL30" s="236">
        <f t="shared" ca="1" si="20"/>
        <v>18</v>
      </c>
      <c r="AM30" s="236" t="str">
        <f t="shared" ca="1" si="5"/>
        <v/>
      </c>
      <c r="AQ30" s="286" t="s">
        <v>451</v>
      </c>
      <c r="AR30" s="286" t="s">
        <v>16</v>
      </c>
      <c r="AS30" s="286">
        <v>19</v>
      </c>
      <c r="AT30" s="286" t="s">
        <v>443</v>
      </c>
      <c r="AV30" s="234">
        <f t="shared" si="21"/>
        <v>11</v>
      </c>
      <c r="AW30" s="234">
        <f>COUNTIF( AV$7:AV30, AV30 )</f>
        <v>5</v>
      </c>
      <c r="AX30" s="287">
        <f t="shared" si="22"/>
        <v>11.5</v>
      </c>
      <c r="AY30" s="234">
        <f t="shared" si="23"/>
        <v>15</v>
      </c>
      <c r="AZ30" s="236"/>
      <c r="BA30" s="236"/>
      <c r="BC30" s="234">
        <f t="shared" ca="1" si="24"/>
        <v>24</v>
      </c>
      <c r="BD30" s="288">
        <f t="shared" ca="1" si="7"/>
        <v>4</v>
      </c>
      <c r="BF30" s="240" t="str">
        <f t="shared" ca="1" si="8"/>
        <v>American Electric Power Company, Inc.</v>
      </c>
      <c r="BG30" s="240" t="str">
        <f t="shared" ca="1" si="9"/>
        <v>BBB</v>
      </c>
      <c r="BH30" s="240">
        <f t="shared" ca="1" si="9"/>
        <v>18</v>
      </c>
      <c r="BI30" s="240" t="str">
        <f t="shared" ca="1" si="9"/>
        <v>AEP</v>
      </c>
    </row>
    <row r="31" spans="1:61" ht="13.8" x14ac:dyDescent="0.25">
      <c r="A31" s="303" t="s">
        <v>55</v>
      </c>
      <c r="B31" s="304" t="s">
        <v>28</v>
      </c>
      <c r="C31" s="304">
        <v>18</v>
      </c>
      <c r="D31" s="304" t="s">
        <v>277</v>
      </c>
      <c r="E31" s="305" t="str">
        <f t="shared" ca="1" si="0"/>
        <v>R</v>
      </c>
      <c r="F31" s="306"/>
      <c r="G31" s="307">
        <f t="shared" ca="1" si="1"/>
        <v>11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32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24</v>
      </c>
      <c r="AW31" s="234">
        <f>COUNTIF( AV$7:AV31, AV31 )</f>
        <v>8</v>
      </c>
      <c r="AX31" s="287">
        <f t="shared" si="22"/>
        <v>24.8</v>
      </c>
      <c r="AY31" s="234">
        <f t="shared" si="23"/>
        <v>31</v>
      </c>
      <c r="AZ31" s="236"/>
      <c r="BA31" s="236"/>
      <c r="BC31" s="234">
        <f t="shared" ca="1" si="24"/>
        <v>25</v>
      </c>
      <c r="BD31" s="288">
        <f t="shared" ca="1" si="7"/>
        <v>5</v>
      </c>
      <c r="BF31" s="240" t="str">
        <f t="shared" ca="1" si="8"/>
        <v>Avista Corporation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AVA</v>
      </c>
    </row>
    <row r="32" spans="1:61" ht="13.8" x14ac:dyDescent="0.25">
      <c r="A32" s="303" t="s">
        <v>30</v>
      </c>
      <c r="B32" s="304" t="s">
        <v>28</v>
      </c>
      <c r="C32" s="304">
        <v>18</v>
      </c>
      <c r="D32" s="304" t="s">
        <v>284</v>
      </c>
      <c r="E32" s="305" t="str">
        <f t="shared" ca="1" si="0"/>
        <v>R</v>
      </c>
      <c r="F32" s="306"/>
      <c r="G32" s="307">
        <f t="shared" ca="1" si="1"/>
        <v>16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33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2</v>
      </c>
      <c r="AW32" s="234">
        <f>COUNTIF( AV$7:AV32, AV32 )</f>
        <v>4</v>
      </c>
      <c r="AX32" s="287">
        <f t="shared" si="22"/>
        <v>2.4</v>
      </c>
      <c r="AY32" s="234">
        <f t="shared" si="23"/>
        <v>5</v>
      </c>
      <c r="AZ32" s="236"/>
      <c r="BA32" s="236"/>
      <c r="BC32" s="234">
        <f t="shared" ca="1" si="24"/>
        <v>26</v>
      </c>
      <c r="BD32" s="288">
        <f t="shared" ca="1" si="7"/>
        <v>8</v>
      </c>
      <c r="BF32" s="240" t="str">
        <f t="shared" ca="1" si="8"/>
        <v>Cleco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CNL</v>
      </c>
    </row>
    <row r="33" spans="1:61" ht="13.8" x14ac:dyDescent="0.25">
      <c r="A33" s="303" t="s">
        <v>34</v>
      </c>
      <c r="B33" s="304" t="s">
        <v>28</v>
      </c>
      <c r="C33" s="304">
        <v>18</v>
      </c>
      <c r="D33" s="304" t="s">
        <v>293</v>
      </c>
      <c r="E33" s="305" t="str">
        <f t="shared" ca="1" si="0"/>
        <v>R</v>
      </c>
      <c r="F33" s="306"/>
      <c r="G33" s="307">
        <f t="shared" ca="1" si="1"/>
        <v>24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34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40</v>
      </c>
      <c r="AW33" s="234">
        <f>COUNTIF( AV$7:AV33, AV33 )</f>
        <v>9</v>
      </c>
      <c r="AX33" s="287">
        <f t="shared" si="22"/>
        <v>40.9</v>
      </c>
      <c r="AY33" s="234">
        <f t="shared" si="23"/>
        <v>48</v>
      </c>
      <c r="AZ33" s="236"/>
      <c r="BA33" s="236"/>
      <c r="BC33" s="234">
        <f t="shared" ca="1" si="24"/>
        <v>27</v>
      </c>
      <c r="BD33" s="288">
        <f t="shared" ca="1" si="7"/>
        <v>16</v>
      </c>
      <c r="BF33" s="240" t="str">
        <f t="shared" ca="1" si="8"/>
        <v>El Paso Electric Company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EE</v>
      </c>
    </row>
    <row r="34" spans="1:61" ht="13.8" x14ac:dyDescent="0.25">
      <c r="A34" s="303" t="s">
        <v>36</v>
      </c>
      <c r="B34" s="304" t="s">
        <v>28</v>
      </c>
      <c r="C34" s="304">
        <v>18</v>
      </c>
      <c r="D34" s="304" t="s">
        <v>296</v>
      </c>
      <c r="E34" s="305" t="str">
        <f t="shared" ca="1" si="0"/>
        <v>R</v>
      </c>
      <c r="F34" s="306"/>
      <c r="G34" s="307">
        <f t="shared" ca="1" si="1"/>
        <v>26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35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11</v>
      </c>
      <c r="AW34" s="234">
        <f>COUNTIF( AV$7:AV34, AV34 )</f>
        <v>6</v>
      </c>
      <c r="AX34" s="287">
        <f t="shared" si="22"/>
        <v>11.6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19</v>
      </c>
      <c r="BF34" s="240" t="str">
        <f t="shared" ca="1" si="8"/>
        <v>Entergy Corporation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ETR</v>
      </c>
    </row>
    <row r="35" spans="1:61" ht="13.8" x14ac:dyDescent="0.25">
      <c r="A35" s="303" t="s">
        <v>11</v>
      </c>
      <c r="B35" s="304" t="s">
        <v>28</v>
      </c>
      <c r="C35" s="304">
        <v>18</v>
      </c>
      <c r="D35" s="304" t="s">
        <v>297</v>
      </c>
      <c r="E35" s="305" t="str">
        <f t="shared" ca="1" si="0"/>
        <v>MR</v>
      </c>
      <c r="F35" s="306"/>
      <c r="G35" s="307">
        <f t="shared" ca="1" si="1"/>
        <v>27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36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11</v>
      </c>
      <c r="AW35" s="234">
        <f>COUNTIF( AV$7:AV35, AV35 )</f>
        <v>7</v>
      </c>
      <c r="AX35" s="287">
        <f t="shared" si="22"/>
        <v>11.7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20</v>
      </c>
      <c r="BF35" s="240" t="str">
        <f t="shared" ca="1" si="8"/>
        <v>Exelon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EXC</v>
      </c>
    </row>
    <row r="36" spans="1:61" ht="13.8" x14ac:dyDescent="0.25">
      <c r="A36" s="303" t="s">
        <v>260</v>
      </c>
      <c r="B36" s="304" t="s">
        <v>28</v>
      </c>
      <c r="C36" s="304">
        <v>18</v>
      </c>
      <c r="D36" s="304" t="s">
        <v>300</v>
      </c>
      <c r="E36" s="305" t="str">
        <f t="shared" ca="1" si="0"/>
        <v>R</v>
      </c>
      <c r="F36" s="306"/>
      <c r="G36" s="307">
        <f t="shared" ca="1" si="1"/>
        <v>29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37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2</v>
      </c>
      <c r="AW36" s="234">
        <f>COUNTIF( AV$7:AV36, AV36 )</f>
        <v>5</v>
      </c>
      <c r="AX36" s="287">
        <f t="shared" si="22"/>
        <v>2.5</v>
      </c>
      <c r="AY36" s="234">
        <f t="shared" si="23"/>
        <v>6</v>
      </c>
      <c r="AZ36" s="236"/>
      <c r="BA36" s="236"/>
      <c r="BC36" s="234">
        <f t="shared" ca="1" si="24"/>
        <v>30</v>
      </c>
      <c r="BD36" s="288">
        <f t="shared" ca="1" si="7"/>
        <v>22</v>
      </c>
      <c r="BF36" s="240" t="str">
        <f t="shared" ca="1" si="8"/>
        <v>Great Plains Energy Inc.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GXP</v>
      </c>
    </row>
    <row r="37" spans="1:61" ht="13.8" x14ac:dyDescent="0.25">
      <c r="A37" s="303" t="s">
        <v>20</v>
      </c>
      <c r="B37" s="304" t="s">
        <v>28</v>
      </c>
      <c r="C37" s="304">
        <v>18</v>
      </c>
      <c r="D37" s="304" t="s">
        <v>302</v>
      </c>
      <c r="E37" s="305" t="str">
        <f t="shared" ca="1" si="0"/>
        <v>R</v>
      </c>
      <c r="F37" s="306"/>
      <c r="G37" s="307">
        <f t="shared" ca="1" si="1"/>
        <v>31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38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40</v>
      </c>
      <c r="AW37" s="234">
        <f>COUNTIF( AV$7:AV37, AV37 )</f>
        <v>10</v>
      </c>
      <c r="AX37" s="287">
        <f t="shared" si="22"/>
        <v>41</v>
      </c>
      <c r="AY37" s="234">
        <f t="shared" si="23"/>
        <v>49</v>
      </c>
      <c r="AZ37" s="236"/>
      <c r="BA37" s="236"/>
      <c r="BC37" s="234">
        <f t="shared" ca="1" si="24"/>
        <v>31</v>
      </c>
      <c r="BD37" s="288">
        <f t="shared" ca="1" si="7"/>
        <v>25</v>
      </c>
      <c r="BF37" s="240" t="str">
        <f t="shared" ca="1" si="8"/>
        <v>IDACORP,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IDA</v>
      </c>
    </row>
    <row r="38" spans="1:61" ht="13.8" x14ac:dyDescent="0.25">
      <c r="A38" s="303" t="s">
        <v>66</v>
      </c>
      <c r="B38" s="304" t="s">
        <v>28</v>
      </c>
      <c r="C38" s="304">
        <v>18</v>
      </c>
      <c r="D38" s="304" t="s">
        <v>314</v>
      </c>
      <c r="E38" s="305" t="str">
        <f t="shared" ca="1" si="0"/>
        <v>R</v>
      </c>
      <c r="F38" s="306"/>
      <c r="G38" s="307">
        <f t="shared" ca="1" si="1"/>
        <v>38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39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10</v>
      </c>
      <c r="AS38" s="286">
        <v>20</v>
      </c>
      <c r="AT38" s="286" t="s">
        <v>511</v>
      </c>
      <c r="AV38" s="234">
        <f t="shared" si="21"/>
        <v>2</v>
      </c>
      <c r="AW38" s="234">
        <f>COUNTIF( AV$7:AV38, AV38 )</f>
        <v>6</v>
      </c>
      <c r="AX38" s="287">
        <f t="shared" si="22"/>
        <v>2.6</v>
      </c>
      <c r="AY38" s="234">
        <f t="shared" si="23"/>
        <v>7</v>
      </c>
      <c r="AZ38" s="236"/>
      <c r="BA38" s="236"/>
      <c r="BC38" s="234">
        <f t="shared" ca="1" si="24"/>
        <v>32</v>
      </c>
      <c r="BD38" s="288">
        <f t="shared" ca="1" si="7"/>
        <v>33</v>
      </c>
      <c r="BF38" s="240" t="str">
        <f t="shared" ca="1" si="8"/>
        <v>NorthWestern Corporation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NWE</v>
      </c>
    </row>
    <row r="39" spans="1:61" ht="13.8" x14ac:dyDescent="0.25">
      <c r="A39" s="303" t="s">
        <v>53</v>
      </c>
      <c r="B39" s="304" t="s">
        <v>28</v>
      </c>
      <c r="C39" s="304">
        <v>18</v>
      </c>
      <c r="D39" s="304" t="s">
        <v>317</v>
      </c>
      <c r="E39" s="305" t="str">
        <f t="shared" ca="1" si="0"/>
        <v>R</v>
      </c>
      <c r="F39" s="306"/>
      <c r="G39" s="307">
        <f t="shared" ca="1" si="1"/>
        <v>44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40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24</v>
      </c>
      <c r="AW39" s="234">
        <f>COUNTIF( AV$7:AV39, AV39 )</f>
        <v>9</v>
      </c>
      <c r="AX39" s="287">
        <f t="shared" si="22"/>
        <v>24.9</v>
      </c>
      <c r="AY39" s="234">
        <f t="shared" si="23"/>
        <v>32</v>
      </c>
      <c r="AZ39" s="236"/>
      <c r="BA39" s="236"/>
      <c r="BC39" s="234">
        <f t="shared" ca="1" si="24"/>
        <v>33</v>
      </c>
      <c r="BD39" s="288">
        <f t="shared" ca="1" si="7"/>
        <v>38</v>
      </c>
      <c r="BF39" s="240" t="str">
        <f t="shared" ref="BF39:BF63" ca="1" si="25">OFFSET( AQ$6, $BD39, 0 )</f>
        <v>PG&amp;E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PCG</v>
      </c>
    </row>
    <row r="40" spans="1:61" ht="13.8" x14ac:dyDescent="0.25">
      <c r="A40" s="303" t="s">
        <v>41</v>
      </c>
      <c r="B40" s="304" t="s">
        <v>28</v>
      </c>
      <c r="C40" s="304">
        <v>18</v>
      </c>
      <c r="D40" s="304" t="s">
        <v>321</v>
      </c>
      <c r="E40" s="305" t="str">
        <f t="shared" ca="1" si="0"/>
        <v>R</v>
      </c>
      <c r="F40" s="306"/>
      <c r="G40" s="307">
        <f t="shared" ca="1" si="1"/>
        <v>45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41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265</v>
      </c>
      <c r="AR40" s="286" t="s">
        <v>56</v>
      </c>
      <c r="AS40" s="286">
        <v>16</v>
      </c>
      <c r="AT40" s="286" t="s">
        <v>313</v>
      </c>
      <c r="AV40" s="234">
        <f t="shared" si="21"/>
        <v>52</v>
      </c>
      <c r="AW40" s="234">
        <f>COUNTIF( AV$7:AV40, AV40 )</f>
        <v>1</v>
      </c>
      <c r="AX40" s="287">
        <f t="shared" si="22"/>
        <v>52.1</v>
      </c>
      <c r="AY40" s="234">
        <f t="shared" si="23"/>
        <v>52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Pinnacle West Capital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PNW</v>
      </c>
    </row>
    <row r="41" spans="1:61" ht="13.8" x14ac:dyDescent="0.25">
      <c r="A41" s="303" t="s">
        <v>24</v>
      </c>
      <c r="B41" s="304" t="s">
        <v>28</v>
      </c>
      <c r="C41" s="304">
        <v>18</v>
      </c>
      <c r="D41" s="304" t="s">
        <v>323</v>
      </c>
      <c r="E41" s="305" t="str">
        <f t="shared" ca="1" si="0"/>
        <v>R</v>
      </c>
      <c r="F41" s="306"/>
      <c r="G41" s="307">
        <f t="shared" ca="1" si="1"/>
        <v>47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42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21</v>
      </c>
      <c r="AR41" s="286" t="s">
        <v>16</v>
      </c>
      <c r="AS41" s="286">
        <v>19</v>
      </c>
      <c r="AT41" s="286" t="s">
        <v>315</v>
      </c>
      <c r="AV41" s="234">
        <f t="shared" si="21"/>
        <v>11</v>
      </c>
      <c r="AW41" s="234">
        <f>COUNTIF( AV$7:AV41, AV41 )</f>
        <v>8</v>
      </c>
      <c r="AX41" s="287">
        <f t="shared" si="22"/>
        <v>11.8</v>
      </c>
      <c r="AY41" s="234">
        <f t="shared" si="23"/>
        <v>18</v>
      </c>
      <c r="AZ41" s="236"/>
      <c r="BA41" s="236"/>
      <c r="BC41" s="234">
        <f t="shared" ca="1" si="24"/>
        <v>35</v>
      </c>
      <c r="BD41" s="288">
        <f t="shared" ca="1" si="7"/>
        <v>41</v>
      </c>
      <c r="BF41" s="240" t="str">
        <f t="shared" ca="1" si="25"/>
        <v>Portland General Electric Company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POR</v>
      </c>
    </row>
    <row r="42" spans="1:61" ht="13.8" x14ac:dyDescent="0.25">
      <c r="A42" s="303" t="s">
        <v>43</v>
      </c>
      <c r="B42" s="304" t="s">
        <v>28</v>
      </c>
      <c r="C42" s="304">
        <v>18</v>
      </c>
      <c r="D42" s="304" t="s">
        <v>324</v>
      </c>
      <c r="E42" s="305" t="str">
        <f t="shared" ca="1" si="0"/>
        <v>MR</v>
      </c>
      <c r="F42" s="306"/>
      <c r="G42" s="307">
        <f t="shared" ca="1" si="1"/>
        <v>48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43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22</v>
      </c>
      <c r="AR42" s="286" t="s">
        <v>49</v>
      </c>
      <c r="AS42" s="286">
        <v>17</v>
      </c>
      <c r="AT42" s="286" t="s">
        <v>316</v>
      </c>
      <c r="AV42" s="234">
        <f t="shared" si="21"/>
        <v>40</v>
      </c>
      <c r="AW42" s="234">
        <f>COUNTIF( AV$7:AV42, AV42 )</f>
        <v>11</v>
      </c>
      <c r="AX42" s="287">
        <f t="shared" si="22"/>
        <v>41.1</v>
      </c>
      <c r="AY42" s="234">
        <f t="shared" si="23"/>
        <v>50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PPL Corporation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PPL</v>
      </c>
    </row>
    <row r="43" spans="1:61" ht="13.8" x14ac:dyDescent="0.25">
      <c r="A43" s="303" t="s">
        <v>45</v>
      </c>
      <c r="B43" s="304" t="s">
        <v>28</v>
      </c>
      <c r="C43" s="304">
        <v>18</v>
      </c>
      <c r="D43" s="304" t="s">
        <v>318</v>
      </c>
      <c r="E43" s="305" t="str">
        <f t="shared" ca="1" si="0"/>
        <v>MR</v>
      </c>
      <c r="F43" s="306"/>
      <c r="G43" s="307">
        <f t="shared" ca="1" si="1"/>
        <v>50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44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23</v>
      </c>
      <c r="AR43" s="286" t="s">
        <v>16</v>
      </c>
      <c r="AS43" s="286">
        <v>19</v>
      </c>
      <c r="AT43" s="286" t="s">
        <v>322</v>
      </c>
      <c r="AV43" s="234">
        <f t="shared" si="21"/>
        <v>11</v>
      </c>
      <c r="AW43" s="234">
        <f>COUNTIF( AV$7:AV43, AV43 )</f>
        <v>9</v>
      </c>
      <c r="AX43" s="287">
        <f t="shared" si="22"/>
        <v>11.9</v>
      </c>
      <c r="AY43" s="234">
        <f t="shared" si="23"/>
        <v>19</v>
      </c>
      <c r="AZ43" s="236"/>
      <c r="BA43" s="236"/>
      <c r="BC43" s="234">
        <f t="shared" ca="1" si="24"/>
        <v>37</v>
      </c>
      <c r="BD43" s="288">
        <f t="shared" ca="1" si="7"/>
        <v>44</v>
      </c>
      <c r="BF43" s="240" t="str">
        <f t="shared" ca="1" si="25"/>
        <v>Public Service Enterprise Group Incorporated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PEG</v>
      </c>
    </row>
    <row r="44" spans="1:61" ht="13.8" x14ac:dyDescent="0.25">
      <c r="A44" s="303" t="s">
        <v>75</v>
      </c>
      <c r="B44" s="304" t="s">
        <v>28</v>
      </c>
      <c r="C44" s="304">
        <v>18</v>
      </c>
      <c r="D44" s="304" t="s">
        <v>331</v>
      </c>
      <c r="E44" s="305" t="str">
        <f t="shared" ca="1" si="0"/>
        <v>R</v>
      </c>
      <c r="F44" s="306"/>
      <c r="G44" s="307">
        <f t="shared" ca="1" si="1"/>
        <v>55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45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53</v>
      </c>
      <c r="AR44" s="286" t="s">
        <v>28</v>
      </c>
      <c r="AS44" s="286">
        <v>18</v>
      </c>
      <c r="AT44" s="289" t="s">
        <v>317</v>
      </c>
      <c r="AV44" s="234">
        <f t="shared" si="21"/>
        <v>24</v>
      </c>
      <c r="AW44" s="234">
        <f>COUNTIF( AV$7:AV44, AV44 )</f>
        <v>10</v>
      </c>
      <c r="AX44" s="287">
        <f t="shared" si="22"/>
        <v>25</v>
      </c>
      <c r="AY44" s="234">
        <f t="shared" si="23"/>
        <v>33</v>
      </c>
      <c r="AZ44" s="236"/>
      <c r="BA44" s="236"/>
      <c r="BC44" s="234">
        <f t="shared" ca="1" si="24"/>
        <v>38</v>
      </c>
      <c r="BD44" s="288">
        <f t="shared" ca="1" si="7"/>
        <v>50</v>
      </c>
      <c r="BF44" s="240" t="str">
        <f t="shared" ca="1" si="25"/>
        <v>UIL Holdings Corporation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UIL</v>
      </c>
    </row>
    <row r="45" spans="1:61" ht="13.8" x14ac:dyDescent="0.25">
      <c r="A45" s="303" t="s">
        <v>59</v>
      </c>
      <c r="B45" s="304" t="s">
        <v>28</v>
      </c>
      <c r="C45" s="304">
        <v>18</v>
      </c>
      <c r="D45" s="304" t="s">
        <v>336</v>
      </c>
      <c r="E45" s="305" t="str">
        <f t="shared" ca="1" si="0"/>
        <v>R</v>
      </c>
      <c r="F45" s="306"/>
      <c r="G45" s="307">
        <f t="shared" ca="1" si="1"/>
        <v>59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46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41</v>
      </c>
      <c r="AR45" s="286" t="s">
        <v>28</v>
      </c>
      <c r="AS45" s="286">
        <v>18</v>
      </c>
      <c r="AT45" s="286" t="s">
        <v>321</v>
      </c>
      <c r="AV45" s="234">
        <f t="shared" si="21"/>
        <v>24</v>
      </c>
      <c r="AW45" s="234">
        <f>COUNTIF( AV$7:AV45, AV45 )</f>
        <v>11</v>
      </c>
      <c r="AX45" s="287">
        <f t="shared" si="22"/>
        <v>25.1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52</v>
      </c>
      <c r="BF45" s="240" t="str">
        <f t="shared" ca="1" si="25"/>
        <v>Westar Energy, Inc.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WR</v>
      </c>
    </row>
    <row r="46" spans="1:61" ht="13.8" x14ac:dyDescent="0.25">
      <c r="A46" s="303" t="s">
        <v>9</v>
      </c>
      <c r="B46" s="304" t="s">
        <v>49</v>
      </c>
      <c r="C46" s="304">
        <v>17</v>
      </c>
      <c r="D46" s="304" t="s">
        <v>273</v>
      </c>
      <c r="E46" s="305" t="str">
        <f t="shared" ca="1" si="0"/>
        <v>R</v>
      </c>
      <c r="F46" s="306"/>
      <c r="G46" s="307">
        <f t="shared" ca="1" si="1"/>
        <v>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47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5"/>
        <v/>
      </c>
      <c r="AQ46" s="286" t="s">
        <v>42</v>
      </c>
      <c r="AR46" s="286" t="s">
        <v>49</v>
      </c>
      <c r="AS46" s="286">
        <v>17</v>
      </c>
      <c r="AT46" s="286" t="s">
        <v>320</v>
      </c>
      <c r="AV46" s="234">
        <f t="shared" si="21"/>
        <v>40</v>
      </c>
      <c r="AW46" s="234">
        <f>COUNTIF( AV$7:AV46, AV46 )</f>
        <v>12</v>
      </c>
      <c r="AX46" s="287">
        <f t="shared" si="22"/>
        <v>41.2</v>
      </c>
      <c r="AY46" s="234">
        <f t="shared" si="23"/>
        <v>51</v>
      </c>
      <c r="AZ46" s="236"/>
      <c r="BA46" s="236"/>
      <c r="BC46" s="234">
        <f t="shared" ca="1" si="24"/>
        <v>40</v>
      </c>
      <c r="BD46" s="288">
        <f t="shared" ca="1" si="7"/>
        <v>3</v>
      </c>
      <c r="BF46" s="240" t="str">
        <f t="shared" ca="1" si="25"/>
        <v>Ameren Corporation</v>
      </c>
      <c r="BG46" s="240" t="str">
        <f t="shared" ca="1" si="9"/>
        <v>BBB-</v>
      </c>
      <c r="BH46" s="240">
        <f t="shared" ca="1" si="9"/>
        <v>17</v>
      </c>
      <c r="BI46" s="240" t="str">
        <f t="shared" ca="1" si="9"/>
        <v>AEE</v>
      </c>
    </row>
    <row r="47" spans="1:61" ht="13.8" x14ac:dyDescent="0.25">
      <c r="A47" s="303" t="s">
        <v>48</v>
      </c>
      <c r="B47" s="304" t="s">
        <v>49</v>
      </c>
      <c r="C47" s="304">
        <v>17</v>
      </c>
      <c r="D47" s="304" t="s">
        <v>279</v>
      </c>
      <c r="E47" s="305" t="str">
        <f t="shared" ca="1" si="0"/>
        <v>MR</v>
      </c>
      <c r="F47" s="306"/>
      <c r="G47" s="307">
        <f t="shared" ca="1" si="1"/>
        <v>12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24</v>
      </c>
      <c r="AR47" s="286" t="s">
        <v>28</v>
      </c>
      <c r="AS47" s="286">
        <v>18</v>
      </c>
      <c r="AT47" s="286" t="s">
        <v>323</v>
      </c>
      <c r="AV47" s="234">
        <f t="shared" si="21"/>
        <v>24</v>
      </c>
      <c r="AW47" s="234">
        <f>COUNTIF( AV$7:AV47, AV47 )</f>
        <v>12</v>
      </c>
      <c r="AX47" s="287">
        <f t="shared" si="22"/>
        <v>25.2</v>
      </c>
      <c r="AY47" s="234">
        <f t="shared" si="23"/>
        <v>35</v>
      </c>
      <c r="AZ47" s="236"/>
      <c r="BA47" s="236"/>
      <c r="BC47" s="234">
        <f t="shared" ca="1" si="24"/>
        <v>41</v>
      </c>
      <c r="BD47" s="288">
        <f t="shared" ca="1" si="7"/>
        <v>6</v>
      </c>
      <c r="BF47" s="240" t="str">
        <f t="shared" ca="1" si="25"/>
        <v>Black Hills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BKH</v>
      </c>
    </row>
    <row r="48" spans="1:61" ht="13.8" x14ac:dyDescent="0.25">
      <c r="A48" s="303" t="s">
        <v>60</v>
      </c>
      <c r="B48" s="304" t="s">
        <v>49</v>
      </c>
      <c r="C48" s="304">
        <v>17</v>
      </c>
      <c r="D48" s="304" t="s">
        <v>283</v>
      </c>
      <c r="E48" s="305" t="str">
        <f t="shared" ca="1" si="0"/>
        <v>R</v>
      </c>
      <c r="F48" s="306"/>
      <c r="G48" s="307">
        <f t="shared" ca="1" si="1"/>
        <v>17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43</v>
      </c>
      <c r="AR48" s="286" t="s">
        <v>28</v>
      </c>
      <c r="AS48" s="286">
        <v>18</v>
      </c>
      <c r="AT48" s="286" t="s">
        <v>324</v>
      </c>
      <c r="AV48" s="234">
        <f t="shared" si="21"/>
        <v>24</v>
      </c>
      <c r="AW48" s="234">
        <f>COUNTIF( AV$7:AV48, AV48 )</f>
        <v>13</v>
      </c>
      <c r="AX48" s="287">
        <f t="shared" si="22"/>
        <v>25.3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9</v>
      </c>
      <c r="BF48" s="240" t="str">
        <f t="shared" ca="1" si="25"/>
        <v>CMS Energy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CMS</v>
      </c>
    </row>
    <row r="49" spans="1:61" ht="13.8" x14ac:dyDescent="0.25">
      <c r="A49" s="303" t="s">
        <v>64</v>
      </c>
      <c r="B49" s="304" t="s">
        <v>49</v>
      </c>
      <c r="C49" s="304">
        <v>17</v>
      </c>
      <c r="D49" s="304" t="s">
        <v>442</v>
      </c>
      <c r="E49" s="305" t="str">
        <f t="shared" ca="1" si="0"/>
        <v>R</v>
      </c>
      <c r="F49" s="306"/>
      <c r="G49" s="307">
        <f t="shared" ca="1" si="1"/>
        <v>64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50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256</v>
      </c>
      <c r="AR49" s="286" t="s">
        <v>16</v>
      </c>
      <c r="AS49" s="286">
        <v>19</v>
      </c>
      <c r="AT49" s="286" t="s">
        <v>319</v>
      </c>
      <c r="AV49" s="234">
        <f t="shared" si="21"/>
        <v>11</v>
      </c>
      <c r="AW49" s="234">
        <f>COUNTIF( AV$7:AV49, AV49 )</f>
        <v>10</v>
      </c>
      <c r="AX49" s="287">
        <f t="shared" si="22"/>
        <v>12</v>
      </c>
      <c r="AY49" s="234">
        <f t="shared" si="23"/>
        <v>20</v>
      </c>
      <c r="AZ49" s="236"/>
      <c r="BA49" s="236"/>
      <c r="BC49" s="234">
        <f t="shared" ca="1" si="24"/>
        <v>43</v>
      </c>
      <c r="BD49" s="288">
        <f t="shared" ca="1" si="7"/>
        <v>12</v>
      </c>
      <c r="BF49" s="240" t="str">
        <f t="shared" ca="1" si="25"/>
        <v>DPL Inc.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**DPL</v>
      </c>
    </row>
    <row r="50" spans="1:61" ht="13.8" x14ac:dyDescent="0.25">
      <c r="A50" s="303" t="s">
        <v>57</v>
      </c>
      <c r="B50" s="304" t="s">
        <v>49</v>
      </c>
      <c r="C50" s="304">
        <v>17</v>
      </c>
      <c r="D50" s="304" t="s">
        <v>295</v>
      </c>
      <c r="E50" s="305" t="str">
        <f t="shared" ca="1" si="0"/>
        <v>R</v>
      </c>
      <c r="F50" s="306"/>
      <c r="G50" s="307">
        <f t="shared" ca="1" si="1"/>
        <v>23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45</v>
      </c>
      <c r="AR50" s="286" t="s">
        <v>28</v>
      </c>
      <c r="AS50" s="286">
        <v>18</v>
      </c>
      <c r="AT50" s="286" t="s">
        <v>318</v>
      </c>
      <c r="AV50" s="234">
        <f t="shared" si="21"/>
        <v>24</v>
      </c>
      <c r="AW50" s="234">
        <f>COUNTIF( AV$7:AV50, AV50 )</f>
        <v>14</v>
      </c>
      <c r="AX50" s="287">
        <f t="shared" si="22"/>
        <v>25.4</v>
      </c>
      <c r="AY50" s="234">
        <f t="shared" si="23"/>
        <v>37</v>
      </c>
      <c r="AZ50" s="236"/>
      <c r="BA50" s="236"/>
      <c r="BC50" s="234">
        <f t="shared" ca="1" si="24"/>
        <v>44</v>
      </c>
      <c r="BD50" s="288">
        <f t="shared" ca="1" si="7"/>
        <v>15</v>
      </c>
      <c r="BF50" s="240" t="str">
        <f t="shared" ca="1" si="25"/>
        <v>Edison International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EIX</v>
      </c>
    </row>
    <row r="51" spans="1:61" ht="13.8" x14ac:dyDescent="0.25">
      <c r="A51" s="303" t="s">
        <v>35</v>
      </c>
      <c r="B51" s="304" t="s">
        <v>49</v>
      </c>
      <c r="C51" s="304">
        <v>17</v>
      </c>
      <c r="D51" s="304" t="s">
        <v>292</v>
      </c>
      <c r="E51" s="305" t="str">
        <f t="shared" ca="1" si="0"/>
        <v>R</v>
      </c>
      <c r="F51" s="306"/>
      <c r="G51" s="307">
        <f t="shared" ca="1" si="1"/>
        <v>25</v>
      </c>
      <c r="H51" s="250"/>
      <c r="I51" s="250"/>
      <c r="J51" s="262"/>
      <c r="K51" s="262"/>
      <c r="L51" s="235"/>
      <c r="M51" s="257"/>
      <c r="N51" s="257"/>
      <c r="AF51" s="236">
        <f t="shared" si="2"/>
        <v>1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54</v>
      </c>
      <c r="AR51" s="286" t="s">
        <v>56</v>
      </c>
      <c r="AS51" s="286">
        <v>16</v>
      </c>
      <c r="AT51" s="286" t="s">
        <v>448</v>
      </c>
      <c r="AV51" s="234">
        <f t="shared" si="21"/>
        <v>52</v>
      </c>
      <c r="AW51" s="234">
        <f>COUNTIF( AV$7:AV51, AV51 )</f>
        <v>2</v>
      </c>
      <c r="AX51" s="287">
        <f t="shared" si="22"/>
        <v>52.2</v>
      </c>
      <c r="AY51" s="234">
        <f t="shared" si="23"/>
        <v>53</v>
      </c>
      <c r="AZ51" s="236"/>
      <c r="BA51" s="236"/>
      <c r="BC51" s="234">
        <f t="shared" ca="1" si="24"/>
        <v>45</v>
      </c>
      <c r="BD51" s="288">
        <f t="shared" ca="1" si="7"/>
        <v>17</v>
      </c>
      <c r="BF51" s="240" t="str">
        <f t="shared" ca="1" si="25"/>
        <v>Empire District Electric Company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EDE</v>
      </c>
    </row>
    <row r="52" spans="1:61" ht="13.8" x14ac:dyDescent="0.25">
      <c r="A52" s="303" t="s">
        <v>51</v>
      </c>
      <c r="B52" s="304" t="s">
        <v>49</v>
      </c>
      <c r="C52" s="304">
        <v>17</v>
      </c>
      <c r="D52" s="304" t="s">
        <v>298</v>
      </c>
      <c r="E52" s="305" t="str">
        <f t="shared" ca="1" si="0"/>
        <v>MR</v>
      </c>
      <c r="F52" s="306"/>
      <c r="G52" s="307">
        <f t="shared" ca="1" si="1"/>
        <v>28</v>
      </c>
      <c r="H52" s="250"/>
      <c r="I52" s="250"/>
      <c r="J52" s="262"/>
      <c r="K52" s="262"/>
      <c r="AF52" s="236">
        <f t="shared" si="2"/>
        <v>1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13</v>
      </c>
      <c r="AR52" s="286" t="s">
        <v>16</v>
      </c>
      <c r="AS52" s="286">
        <v>19</v>
      </c>
      <c r="AT52" s="286" t="s">
        <v>326</v>
      </c>
      <c r="AV52" s="234">
        <f t="shared" si="21"/>
        <v>11</v>
      </c>
      <c r="AW52" s="234">
        <f>COUNTIF( AV$7:AV52, AV52 )</f>
        <v>11</v>
      </c>
      <c r="AX52" s="287">
        <f t="shared" si="22"/>
        <v>12.1</v>
      </c>
      <c r="AY52" s="234">
        <f t="shared" si="23"/>
        <v>21</v>
      </c>
      <c r="AZ52" s="236"/>
      <c r="BA52" s="236"/>
      <c r="BC52" s="234">
        <f t="shared" ca="1" si="24"/>
        <v>46</v>
      </c>
      <c r="BD52" s="288">
        <f t="shared" ca="1" si="7"/>
        <v>21</v>
      </c>
      <c r="BF52" s="240" t="str">
        <f t="shared" ca="1" si="25"/>
        <v>FirstEnergy Corp.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FE</v>
      </c>
    </row>
    <row r="53" spans="1:61" ht="13.8" x14ac:dyDescent="0.25">
      <c r="A53" s="303" t="s">
        <v>39</v>
      </c>
      <c r="B53" s="304" t="s">
        <v>49</v>
      </c>
      <c r="C53" s="304">
        <v>17</v>
      </c>
      <c r="D53" s="304" t="s">
        <v>301</v>
      </c>
      <c r="E53" s="305" t="str">
        <f t="shared" ca="1" si="0"/>
        <v>D</v>
      </c>
      <c r="F53" s="306"/>
      <c r="G53" s="307">
        <f t="shared" ca="1" si="1"/>
        <v>30</v>
      </c>
      <c r="H53" s="250"/>
      <c r="I53" s="250"/>
      <c r="J53" s="262"/>
      <c r="K53" s="262"/>
      <c r="AF53" s="236">
        <f t="shared" si="2"/>
        <v>1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25</v>
      </c>
      <c r="AR53" s="286" t="s">
        <v>16</v>
      </c>
      <c r="AS53" s="286">
        <v>19</v>
      </c>
      <c r="AT53" s="286" t="s">
        <v>328</v>
      </c>
      <c r="AV53" s="234">
        <f t="shared" si="21"/>
        <v>11</v>
      </c>
      <c r="AW53" s="234">
        <f>COUNTIF( AV$7:AV53, AV53 )</f>
        <v>12</v>
      </c>
      <c r="AX53" s="287">
        <f t="shared" si="22"/>
        <v>12.2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23</v>
      </c>
      <c r="BF53" s="240" t="str">
        <f t="shared" ca="1" si="25"/>
        <v>Hawaiian Electric Industries, Inc.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HE</v>
      </c>
    </row>
    <row r="54" spans="1:61" ht="13.8" x14ac:dyDescent="0.25">
      <c r="A54" s="303" t="s">
        <v>58</v>
      </c>
      <c r="B54" s="304" t="s">
        <v>49</v>
      </c>
      <c r="C54" s="304">
        <v>17</v>
      </c>
      <c r="D54" s="304" t="s">
        <v>445</v>
      </c>
      <c r="E54" s="305" t="str">
        <f t="shared" ca="1" si="0"/>
        <v>R</v>
      </c>
      <c r="F54" s="306"/>
      <c r="G54" s="307">
        <f t="shared" ca="1" si="1"/>
        <v>66</v>
      </c>
      <c r="H54" s="250"/>
      <c r="I54" s="250"/>
      <c r="J54" s="262"/>
      <c r="K54" s="262"/>
      <c r="AF54" s="236">
        <f t="shared" si="2"/>
        <v>1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7</v>
      </c>
      <c r="AR54" s="286" t="s">
        <v>2</v>
      </c>
      <c r="AS54" s="286">
        <v>21</v>
      </c>
      <c r="AT54" s="286" t="s">
        <v>327</v>
      </c>
      <c r="AV54" s="234">
        <f t="shared" si="21"/>
        <v>1</v>
      </c>
      <c r="AW54" s="234">
        <f>COUNTIF( AV$7:AV54, AV54 )</f>
        <v>1</v>
      </c>
      <c r="AX54" s="287">
        <f t="shared" si="22"/>
        <v>1.1000000000000001</v>
      </c>
      <c r="AY54" s="234">
        <f t="shared" si="23"/>
        <v>1</v>
      </c>
      <c r="AZ54" s="236"/>
      <c r="BA54" s="236"/>
      <c r="BC54" s="234">
        <f t="shared" ca="1" si="24"/>
        <v>48</v>
      </c>
      <c r="BD54" s="288">
        <f t="shared" ca="1" si="7"/>
        <v>27</v>
      </c>
      <c r="BF54" s="240" t="str">
        <f t="shared" ca="1" si="25"/>
        <v>IPALCO Enterprises,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**IPALCO</v>
      </c>
    </row>
    <row r="55" spans="1:61" ht="13.8" x14ac:dyDescent="0.25">
      <c r="A55" s="303" t="s">
        <v>40</v>
      </c>
      <c r="B55" s="304" t="s">
        <v>49</v>
      </c>
      <c r="C55" s="304">
        <v>17</v>
      </c>
      <c r="D55" s="304" t="s">
        <v>310</v>
      </c>
      <c r="E55" s="305" t="str">
        <f t="shared" ca="1" si="0"/>
        <v>MR</v>
      </c>
      <c r="F55" s="306"/>
      <c r="G55" s="307">
        <f t="shared" ca="1" si="1"/>
        <v>36</v>
      </c>
      <c r="H55" s="250"/>
      <c r="I55" s="250"/>
      <c r="J55" s="262"/>
      <c r="K55" s="262"/>
      <c r="AF55" s="236">
        <f t="shared" si="2"/>
        <v>1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62</v>
      </c>
      <c r="AR55" s="286" t="s">
        <v>16</v>
      </c>
      <c r="AS55" s="286">
        <v>19</v>
      </c>
      <c r="AT55" s="286" t="s">
        <v>329</v>
      </c>
      <c r="AV55" s="234">
        <f t="shared" si="21"/>
        <v>11</v>
      </c>
      <c r="AW55" s="234">
        <f>COUNTIF( AV$7:AV55, AV55 )</f>
        <v>13</v>
      </c>
      <c r="AX55" s="287">
        <f t="shared" si="22"/>
        <v>12.3</v>
      </c>
      <c r="AY55" s="234">
        <f t="shared" si="23"/>
        <v>23</v>
      </c>
      <c r="AZ55" s="236"/>
      <c r="BA55" s="236"/>
      <c r="BC55" s="234">
        <f t="shared" ca="1" si="24"/>
        <v>49</v>
      </c>
      <c r="BD55" s="288">
        <f t="shared" ca="1" si="7"/>
        <v>31</v>
      </c>
      <c r="BF55" s="240" t="str">
        <f t="shared" ca="1" si="25"/>
        <v>NiSource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NI</v>
      </c>
    </row>
    <row r="56" spans="1:61" ht="13.8" x14ac:dyDescent="0.25">
      <c r="A56" s="303" t="s">
        <v>22</v>
      </c>
      <c r="B56" s="304" t="s">
        <v>49</v>
      </c>
      <c r="C56" s="304">
        <v>17</v>
      </c>
      <c r="D56" s="304" t="s">
        <v>316</v>
      </c>
      <c r="E56" s="305" t="str">
        <f t="shared" ca="1" si="0"/>
        <v>MR</v>
      </c>
      <c r="F56" s="306"/>
      <c r="G56" s="307">
        <f t="shared" ca="1" si="1"/>
        <v>42</v>
      </c>
      <c r="H56" s="250"/>
      <c r="I56" s="250"/>
      <c r="J56" s="262"/>
      <c r="K56" s="262"/>
      <c r="AF56" s="236">
        <f t="shared" si="2"/>
        <v>1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75</v>
      </c>
      <c r="AR56" s="286" t="s">
        <v>28</v>
      </c>
      <c r="AS56" s="286">
        <v>18</v>
      </c>
      <c r="AT56" s="286" t="s">
        <v>331</v>
      </c>
      <c r="AV56" s="234">
        <f t="shared" si="21"/>
        <v>24</v>
      </c>
      <c r="AW56" s="234">
        <f>COUNTIF( AV$7:AV56, AV56 )</f>
        <v>15</v>
      </c>
      <c r="AX56" s="287">
        <f t="shared" si="22"/>
        <v>25.5</v>
      </c>
      <c r="AY56" s="234">
        <f t="shared" si="23"/>
        <v>38</v>
      </c>
      <c r="AZ56" s="236"/>
      <c r="BA56" s="236"/>
      <c r="BC56" s="234">
        <f t="shared" ca="1" si="24"/>
        <v>50</v>
      </c>
      <c r="BD56" s="288">
        <f t="shared" ca="1" si="7"/>
        <v>36</v>
      </c>
      <c r="BF56" s="240" t="str">
        <f t="shared" ca="1" si="25"/>
        <v>Otter Tail Corporation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OTTR</v>
      </c>
    </row>
    <row r="57" spans="1:61" ht="13.8" x14ac:dyDescent="0.25">
      <c r="A57" s="303" t="s">
        <v>42</v>
      </c>
      <c r="B57" s="304" t="s">
        <v>49</v>
      </c>
      <c r="C57" s="304">
        <v>17</v>
      </c>
      <c r="D57" s="304" t="s">
        <v>320</v>
      </c>
      <c r="E57" s="305" t="str">
        <f t="shared" ca="1" si="0"/>
        <v>R</v>
      </c>
      <c r="F57" s="306"/>
      <c r="G57" s="307">
        <f t="shared" ca="1" si="1"/>
        <v>46</v>
      </c>
      <c r="H57" s="250"/>
      <c r="I57" s="250"/>
      <c r="J57" s="262"/>
      <c r="K57" s="262"/>
      <c r="AF57" s="236">
        <f t="shared" si="2"/>
        <v>1</v>
      </c>
      <c r="AG57" s="236">
        <f t="shared" ca="1" si="3"/>
        <v>1</v>
      </c>
      <c r="AH57" s="236" t="str">
        <f t="shared" ca="1" si="19"/>
        <v/>
      </c>
      <c r="AJ57" s="236">
        <f t="shared" ca="1" si="4"/>
        <v>60</v>
      </c>
      <c r="AK57" s="236" t="str">
        <f t="shared" ca="1" si="20"/>
        <v>BB</v>
      </c>
      <c r="AL57" s="236">
        <f t="shared" ca="1" si="20"/>
        <v>15</v>
      </c>
      <c r="AM57" s="236" t="str">
        <f t="shared" ca="1" si="5"/>
        <v>Change</v>
      </c>
      <c r="AQ57" s="286" t="s">
        <v>14</v>
      </c>
      <c r="AR57" s="286" t="s">
        <v>10</v>
      </c>
      <c r="AS57" s="286">
        <v>20</v>
      </c>
      <c r="AT57" s="286" t="s">
        <v>334</v>
      </c>
      <c r="AV57" s="234">
        <f t="shared" si="21"/>
        <v>2</v>
      </c>
      <c r="AW57" s="234">
        <f>COUNTIF( AV$7:AV57, AV57 )</f>
        <v>7</v>
      </c>
      <c r="AX57" s="287">
        <f t="shared" si="22"/>
        <v>2.7</v>
      </c>
      <c r="AY57" s="234">
        <f t="shared" si="23"/>
        <v>8</v>
      </c>
      <c r="AZ57" s="236"/>
      <c r="BA57" s="236"/>
      <c r="BC57" s="234">
        <f t="shared" ca="1" si="24"/>
        <v>51</v>
      </c>
      <c r="BD57" s="288">
        <f t="shared" ca="1" si="7"/>
        <v>40</v>
      </c>
      <c r="BF57" s="240" t="str">
        <f t="shared" ca="1" si="25"/>
        <v>PNM Resources, Inc.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PNM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0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58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59</v>
      </c>
      <c r="AR58" s="286" t="s">
        <v>28</v>
      </c>
      <c r="AS58" s="286">
        <v>18</v>
      </c>
      <c r="AT58" s="286" t="s">
        <v>336</v>
      </c>
      <c r="AV58" s="234">
        <f t="shared" si="21"/>
        <v>24</v>
      </c>
      <c r="AW58" s="234">
        <f>COUNTIF( AV$7:AV58, AV58 )</f>
        <v>16</v>
      </c>
      <c r="AX58" s="287">
        <f t="shared" si="22"/>
        <v>25.6</v>
      </c>
      <c r="AY58" s="234">
        <f t="shared" si="23"/>
        <v>39</v>
      </c>
      <c r="AZ58" s="236"/>
      <c r="BA58" s="236"/>
      <c r="BC58" s="234">
        <f t="shared" ca="1" si="24"/>
        <v>52</v>
      </c>
      <c r="BD58" s="288">
        <f t="shared" ca="1" si="7"/>
        <v>34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0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59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26</v>
      </c>
      <c r="AR59" s="286" t="s">
        <v>10</v>
      </c>
      <c r="AS59" s="286">
        <v>20</v>
      </c>
      <c r="AT59" s="286" t="s">
        <v>335</v>
      </c>
      <c r="AV59" s="234">
        <f t="shared" si="21"/>
        <v>2</v>
      </c>
      <c r="AW59" s="234">
        <f>COUNTIF( AV$7:AV59, AV59 )</f>
        <v>8</v>
      </c>
      <c r="AX59" s="287">
        <f t="shared" si="22"/>
        <v>2.8</v>
      </c>
      <c r="AY59" s="234">
        <f t="shared" si="23"/>
        <v>9</v>
      </c>
      <c r="AZ59" s="236"/>
      <c r="BA59" s="236"/>
      <c r="BC59" s="234">
        <f t="shared" ca="1" si="24"/>
        <v>53</v>
      </c>
      <c r="BD59" s="288">
        <f t="shared" ca="1" si="7"/>
        <v>45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248</v>
      </c>
      <c r="B60" s="248" t="s">
        <v>125</v>
      </c>
      <c r="C60" s="248">
        <v>9</v>
      </c>
      <c r="D60" s="248" t="s">
        <v>444</v>
      </c>
      <c r="E60" s="249"/>
      <c r="F60" s="250"/>
      <c r="G60" s="251">
        <f t="shared" ca="1" si="1"/>
        <v>65</v>
      </c>
      <c r="H60" s="250"/>
      <c r="I60" s="250"/>
      <c r="AF60" s="236">
        <f t="shared" si="2"/>
        <v>1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CCC</v>
      </c>
      <c r="AL60" s="236">
        <f t="shared" ca="1" si="20"/>
        <v>9</v>
      </c>
      <c r="AM60" s="236" t="str">
        <f t="shared" ca="1" si="5"/>
        <v/>
      </c>
      <c r="AQ60" s="286" t="s">
        <v>257</v>
      </c>
      <c r="AR60" s="286" t="s">
        <v>10</v>
      </c>
      <c r="AS60" s="286">
        <v>20</v>
      </c>
      <c r="AT60" s="286" t="s">
        <v>337</v>
      </c>
      <c r="AV60" s="234">
        <f t="shared" si="21"/>
        <v>2</v>
      </c>
      <c r="AW60" s="234">
        <f>COUNTIF( AV$7:AV60, AV60 )</f>
        <v>9</v>
      </c>
      <c r="AX60" s="287">
        <f t="shared" si="22"/>
        <v>2.9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18</v>
      </c>
      <c r="BF60" s="240" t="str">
        <f t="shared" ca="1" si="25"/>
        <v>Energy Future Holdings Corp.</v>
      </c>
      <c r="BG60" s="240" t="str">
        <f t="shared" ca="1" si="9"/>
        <v>CCC</v>
      </c>
      <c r="BH60" s="240">
        <f t="shared" ca="1" si="9"/>
        <v>9</v>
      </c>
      <c r="BI60" s="240" t="str">
        <f t="shared" ca="1" si="9"/>
        <v>**EFH</v>
      </c>
    </row>
    <row r="61" spans="1:61" ht="14.4" thickBot="1" x14ac:dyDescent="0.3">
      <c r="A61" s="265"/>
      <c r="B61" s="266"/>
      <c r="C61" s="266"/>
      <c r="D61" s="266"/>
      <c r="E61" s="267"/>
      <c r="F61" s="250"/>
      <c r="G61" s="251" t="str">
        <f t="shared" ca="1" si="1"/>
        <v/>
      </c>
      <c r="H61" s="250"/>
      <c r="I61" s="250"/>
      <c r="AF61" s="236">
        <f t="shared" si="2"/>
        <v>0</v>
      </c>
      <c r="AG61" s="236" t="str">
        <f t="shared" si="3"/>
        <v/>
      </c>
      <c r="AH61" s="236" t="str">
        <f t="shared" si="19"/>
        <v/>
      </c>
      <c r="AJ61" s="236" t="e">
        <f t="shared" ca="1" si="4"/>
        <v>#N/A</v>
      </c>
      <c r="AK61" s="236" t="str">
        <f t="shared" ca="1" si="20"/>
        <v/>
      </c>
      <c r="AL61" s="236" t="str">
        <f t="shared" ca="1" si="20"/>
        <v/>
      </c>
      <c r="AM61" s="236" t="str">
        <f t="shared" ca="1" si="5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</v>
      </c>
      <c r="AX61" s="287">
        <f t="shared" si="22"/>
        <v>99.1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7"/>
        <v>55</v>
      </c>
      <c r="BF61" s="240">
        <f t="shared" ca="1" si="25"/>
        <v>0</v>
      </c>
      <c r="BG61" s="240">
        <f t="shared" ca="1" si="9"/>
        <v>0</v>
      </c>
      <c r="BH61" s="240">
        <f t="shared" ca="1" si="9"/>
        <v>0</v>
      </c>
      <c r="BI61" s="240">
        <f t="shared" ca="1" si="9"/>
        <v>0</v>
      </c>
    </row>
    <row r="62" spans="1:61" ht="13.8" x14ac:dyDescent="0.25">
      <c r="A62" s="308" t="s">
        <v>473</v>
      </c>
      <c r="B62" s="309" t="s">
        <v>108</v>
      </c>
      <c r="C62" s="309">
        <v>23</v>
      </c>
      <c r="D62" s="309" t="s">
        <v>439</v>
      </c>
      <c r="E62" s="310" t="str">
        <f ca="1">OFFSET( INDIRECT( E$3 &amp; E$4 ), $G62 - 1, 0 )</f>
        <v>MR</v>
      </c>
      <c r="F62" s="311"/>
      <c r="G62" s="312">
        <f t="shared" ca="1" si="1"/>
        <v>34</v>
      </c>
      <c r="H62" s="250"/>
      <c r="I62" s="250"/>
      <c r="AF62" s="236">
        <f t="shared" si="2"/>
        <v>1</v>
      </c>
      <c r="AG62" s="236" t="str">
        <f t="shared" ca="1" si="3"/>
        <v/>
      </c>
      <c r="AH62" s="236" t="str">
        <f t="shared" ca="1" si="19"/>
        <v/>
      </c>
      <c r="AJ62" s="236">
        <f t="shared" ca="1" si="4"/>
        <v>63</v>
      </c>
      <c r="AK62" s="236" t="str">
        <f t="shared" ca="1" si="20"/>
        <v>AA-</v>
      </c>
      <c r="AL62" s="236">
        <f t="shared" ca="1" si="20"/>
        <v>23</v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2</v>
      </c>
      <c r="AX62" s="287">
        <f t="shared" si="22"/>
        <v>99.2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3" t="s">
        <v>474</v>
      </c>
      <c r="B63" s="304" t="s">
        <v>2</v>
      </c>
      <c r="C63" s="304">
        <v>21</v>
      </c>
      <c r="D63" s="304" t="s">
        <v>440</v>
      </c>
      <c r="E63" s="305" t="str">
        <f ca="1">OFFSET( INDIRECT( E$3 &amp; E$4 ), $G63 - 1, 0 )</f>
        <v>R</v>
      </c>
      <c r="F63" s="306"/>
      <c r="G63" s="307">
        <f t="shared" ca="1" si="1"/>
        <v>15</v>
      </c>
      <c r="H63" s="250"/>
      <c r="I63" s="250"/>
      <c r="AF63" s="236">
        <f t="shared" si="2"/>
        <v>0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64</v>
      </c>
      <c r="AK63" s="236" t="str">
        <f t="shared" ca="1" si="20"/>
        <v>A</v>
      </c>
      <c r="AL63" s="236">
        <f t="shared" ca="1" si="20"/>
        <v>21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3</v>
      </c>
      <c r="AX63" s="287">
        <f t="shared" si="22"/>
        <v>99.3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:BI63" ca="1" si="26">OFFSET( AR$6, $BD63, 0 )</f>
        <v>0</v>
      </c>
      <c r="BH63" s="240">
        <f t="shared" ca="1" si="26"/>
        <v>0</v>
      </c>
      <c r="BI63" s="240">
        <f t="shared" ca="1" si="26"/>
        <v>0</v>
      </c>
    </row>
    <row r="64" spans="1:61" ht="13.8" x14ac:dyDescent="0.25">
      <c r="A64" s="303" t="s">
        <v>475</v>
      </c>
      <c r="B64" s="304" t="s">
        <v>56</v>
      </c>
      <c r="C64" s="304">
        <v>16</v>
      </c>
      <c r="D64" s="304" t="s">
        <v>441</v>
      </c>
      <c r="E64" s="305" t="str">
        <f ca="1">OFFSET( INDIRECT( E$3 &amp; E$4 ), $G64 - 1, 0 )</f>
        <v>R</v>
      </c>
      <c r="F64" s="306"/>
      <c r="G64" s="307">
        <f t="shared" ca="1" si="1"/>
        <v>57</v>
      </c>
      <c r="H64" s="250"/>
      <c r="I64" s="250"/>
      <c r="AF64" s="236">
        <f t="shared" si="2"/>
        <v>1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65</v>
      </c>
      <c r="AK64" s="236" t="str">
        <f t="shared" ca="1" si="20"/>
        <v>BB+</v>
      </c>
      <c r="AL64" s="236">
        <f t="shared" ca="1" si="20"/>
        <v>16</v>
      </c>
      <c r="AM64" s="236" t="str">
        <f t="shared" ca="1" si="5"/>
        <v/>
      </c>
      <c r="AQ64" s="286" t="s">
        <v>473</v>
      </c>
      <c r="AR64" s="286" t="s">
        <v>108</v>
      </c>
      <c r="AS64" s="286">
        <v>23</v>
      </c>
      <c r="AT64" s="286" t="s">
        <v>439</v>
      </c>
      <c r="AU64" s="286"/>
      <c r="AZ64" s="236"/>
      <c r="BA64" s="236"/>
      <c r="BF64" s="236"/>
    </row>
    <row r="65" spans="1:58" ht="13.8" x14ac:dyDescent="0.25">
      <c r="A65" s="303" t="s">
        <v>476</v>
      </c>
      <c r="B65" s="313"/>
      <c r="C65" s="304"/>
      <c r="D65" s="304" t="s">
        <v>447</v>
      </c>
      <c r="E65" s="305" t="str">
        <f ca="1">OFFSET( INDIRECT( E$3 &amp; E$4 ), $G65 - 1, 0 )</f>
        <v>R</v>
      </c>
      <c r="F65" s="306"/>
      <c r="G65" s="307">
        <f t="shared" ca="1" si="1"/>
        <v>56</v>
      </c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9"/>
        <v/>
      </c>
      <c r="AJ65" s="236">
        <f t="shared" ca="1" si="4"/>
        <v>66</v>
      </c>
      <c r="AK65" s="236">
        <f t="shared" ca="1" si="20"/>
        <v>0</v>
      </c>
      <c r="AL65" s="236">
        <f t="shared" ca="1" si="20"/>
        <v>0</v>
      </c>
      <c r="AM65" s="236" t="str">
        <f t="shared" ca="1" si="5"/>
        <v/>
      </c>
      <c r="AQ65" s="286" t="s">
        <v>474</v>
      </c>
      <c r="AR65" s="286" t="s">
        <v>2</v>
      </c>
      <c r="AS65" s="286">
        <v>21</v>
      </c>
      <c r="AT65" s="286" t="s">
        <v>440</v>
      </c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7">IF( LEN( $C66 ) = 0, "", IF( $C66 &gt; $AL66, 1, "" ) )</f>
        <v/>
      </c>
      <c r="AH66" s="236" t="str">
        <f t="shared" si="19"/>
        <v/>
      </c>
      <c r="AJ66" s="236" t="e">
        <f t="shared" ca="1" si="4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5"/>
        <v/>
      </c>
      <c r="AQ66" s="286" t="s">
        <v>475</v>
      </c>
      <c r="AR66" s="286" t="s">
        <v>56</v>
      </c>
      <c r="AS66" s="286">
        <v>16</v>
      </c>
      <c r="AT66" s="286" t="s">
        <v>441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7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76</v>
      </c>
      <c r="AR67" s="286" t="s">
        <v>372</v>
      </c>
      <c r="AS67" s="286"/>
      <c r="AT67" s="286" t="s">
        <v>447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18.263157894736842</v>
      </c>
      <c r="D68" s="276"/>
      <c r="E68" s="276"/>
      <c r="F68" s="250"/>
      <c r="H68" s="250"/>
      <c r="I68" s="250"/>
      <c r="J68" s="253"/>
      <c r="K68" s="253"/>
      <c r="AQ68" s="286"/>
      <c r="AR68" s="286"/>
      <c r="AS68" s="286"/>
      <c r="AT68" s="286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18.350877192982455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B0F0"/>
    <pageSetUpPr fitToPage="1"/>
  </sheetPr>
  <dimension ref="A1:BJ82"/>
  <sheetViews>
    <sheetView showGridLines="0" zoomScale="70" zoomScaleNormal="70" workbookViewId="0">
      <pane ySplit="6" topLeftCell="A7" activePane="bottomLeft" state="frozen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customWidth="1"/>
    <col min="23" max="23" width="2" style="234" customWidth="1"/>
    <col min="24" max="24" width="4.109375" style="234" bestFit="1" customWidth="1"/>
    <col min="25" max="25" width="5.5546875" style="234" bestFit="1" customWidth="1"/>
    <col min="26" max="26" width="2.44140625" style="234" bestFit="1" customWidth="1"/>
    <col min="27" max="27" width="4.33203125" style="234" bestFit="1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7.88671875" style="236" hidden="1" customWidth="1" outlineLevel="1" collapsed="1"/>
    <col min="37" max="38" width="9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3.441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style="234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-- 2012 Q1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</row>
    <row r="2" spans="1:61" ht="18" hidden="1" outlineLevel="1" x14ac:dyDescent="0.25">
      <c r="A2" s="233"/>
      <c r="E2" s="238" t="str">
        <f>G2</f>
        <v>Reg_Percent_2010</v>
      </c>
      <c r="G2" s="239" t="s">
        <v>486</v>
      </c>
      <c r="AJ2" s="240" t="str">
        <f>AJ4 &amp; AJ3</f>
        <v>'Credit_2011Q4'!a:a</v>
      </c>
      <c r="AK2" s="240" t="str">
        <f>AK4 &amp; AK3</f>
        <v>'Credit_2011Q4'!b1</v>
      </c>
      <c r="AL2" s="240" t="str">
        <f>AL4 &amp; AL3</f>
        <v>'Credit_2011Q4'!c1</v>
      </c>
    </row>
    <row r="3" spans="1:61" ht="18" hidden="1" outlineLevel="1" x14ac:dyDescent="0.25">
      <c r="A3" s="233"/>
      <c r="E3" s="241" t="str">
        <f>"'" &amp; E2 &amp; "'!"</f>
        <v>'Reg_Percent_2010'!</v>
      </c>
      <c r="G3" s="234" t="str">
        <f>"'" &amp; G2 &amp; "'!"</f>
        <v>'Reg_Percent_2010'!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424</v>
      </c>
      <c r="AK3" s="210" t="s">
        <v>426</v>
      </c>
      <c r="AL3" s="210" t="s">
        <v>452</v>
      </c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2" t="s">
        <v>492</v>
      </c>
      <c r="AK4" s="236" t="str">
        <f>AJ4</f>
        <v>'Credit_2011Q4'!</v>
      </c>
      <c r="AL4" s="236" t="str">
        <f>AK4</f>
        <v>'Credit_2011Q4'!</v>
      </c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(58)</v>
      </c>
      <c r="M5" s="505"/>
      <c r="N5" s="314"/>
      <c r="O5" s="503" t="str">
        <f ca="1">"Regulated" &amp; CHAR( 10 ) &amp; "(" &amp; O14 &amp; ")"</f>
        <v>Regulated
(37)</v>
      </c>
      <c r="P5" s="507"/>
      <c r="Q5" s="314"/>
      <c r="R5" s="503" t="str">
        <f ca="1">"Mostly Regulated" &amp; CHAR( 10 ) &amp; "(" &amp; R14 &amp; ")"</f>
        <v>Mostly Regulated
(18)</v>
      </c>
      <c r="S5" s="507"/>
      <c r="T5" s="314"/>
      <c r="U5" s="503" t="str">
        <f ca="1">"Diversified" &amp; CHAR( 10 ) &amp; "(" &amp; U14 &amp; ")"</f>
        <v>Diversified
(3)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</row>
    <row r="6" spans="1:61" ht="28.5" customHeight="1" x14ac:dyDescent="0.25">
      <c r="A6" s="299" t="s">
        <v>0</v>
      </c>
      <c r="B6" s="300" t="s">
        <v>390</v>
      </c>
      <c r="C6" s="338" t="s">
        <v>470</v>
      </c>
      <c r="D6" s="301"/>
      <c r="E6" s="302">
        <v>40543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6</v>
      </c>
      <c r="B7" s="304" t="s">
        <v>110</v>
      </c>
      <c r="C7" s="304">
        <v>22</v>
      </c>
      <c r="D7" s="304" t="s">
        <v>312</v>
      </c>
      <c r="E7" s="305" t="str">
        <f t="shared" ref="E7:E61" ca="1" si="0">OFFSET( INDIRECT( E$3 &amp; E$4 ), $G7 - 1, 0 )</f>
        <v>R</v>
      </c>
      <c r="F7" s="306"/>
      <c r="G7" s="307">
        <f t="shared" ref="G7:G66" ca="1" si="1">IF( LEN( $D7 ) = 0, "", MATCH( $D7, INDIRECT( G$3 &amp; G$4 ), 0 ) )</f>
        <v>39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t="shared" ref="AJ7:AJ67" ca="1" si="4">MATCH( $A7,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5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12</v>
      </c>
      <c r="AW7" s="234">
        <f>COUNTIF( AV7:AV$7, AV7 )</f>
        <v>1</v>
      </c>
      <c r="AX7" s="287">
        <f>AV7 + AW7 / 10</f>
        <v>12.1</v>
      </c>
      <c r="AY7" s="234">
        <f>RANK( AX7, $AX$7:$AX$63, 1 )</f>
        <v>12</v>
      </c>
      <c r="AZ7" s="236"/>
      <c r="BA7" s="236"/>
      <c r="BC7" s="234">
        <f t="shared" ref="BC7" ca="1" si="6">OFFSET( BC7, -1, 0 ) + 1</f>
        <v>1</v>
      </c>
      <c r="BD7" s="288">
        <f t="shared" ref="BD7:BD62" ca="1" si="7">MATCH( BC7, $AY$7:$AY$63, 0 )</f>
        <v>34</v>
      </c>
      <c r="BF7" s="240" t="str">
        <f t="shared" ref="BF7:BF38" ca="1" si="8">OFFSET( AQ$6, $BD7, 0 )</f>
        <v>NSTAR</v>
      </c>
      <c r="BG7" s="240" t="str">
        <f t="shared" ref="BG7:BI62" ca="1" si="9">OFFSET( AR$6, $BD7, 0 )</f>
        <v>A+</v>
      </c>
      <c r="BH7" s="240">
        <f t="shared" ca="1" si="9"/>
        <v>22</v>
      </c>
      <c r="BI7" s="240" t="str">
        <f t="shared" ca="1" si="9"/>
        <v>NST</v>
      </c>
    </row>
    <row r="8" spans="1:61" ht="13.8" x14ac:dyDescent="0.25">
      <c r="A8" s="303" t="s">
        <v>7</v>
      </c>
      <c r="B8" s="304" t="s">
        <v>2</v>
      </c>
      <c r="C8" s="304">
        <v>21</v>
      </c>
      <c r="D8" s="304" t="s">
        <v>327</v>
      </c>
      <c r="E8" s="305" t="str">
        <f t="shared" ca="1" si="0"/>
        <v>R</v>
      </c>
      <c r="F8" s="306"/>
      <c r="G8" s="307">
        <f t="shared" ca="1" si="1"/>
        <v>53</v>
      </c>
      <c r="H8" s="250"/>
      <c r="I8" s="317"/>
      <c r="J8" s="293" t="s">
        <v>138</v>
      </c>
      <c r="K8" s="317"/>
      <c r="L8" s="293">
        <f t="shared" ref="L8:L13" si="10">COUNTIF($C$7:$C$67,$X8)</f>
        <v>4</v>
      </c>
      <c r="M8" s="294">
        <f t="shared" ref="M8:M13" si="11">IF( L8 = 0, "", L8/L$14 )</f>
        <v>6.8965517241379309E-2</v>
      </c>
      <c r="N8" s="317"/>
      <c r="O8" s="293">
        <f t="shared" ref="O8:O13" ca="1" si="12">COUNTIFS( $E$7:$E$66, O$3, $C$7:$C$66, $X8 )</f>
        <v>3</v>
      </c>
      <c r="P8" s="294">
        <f t="shared" ref="P8:P13" ca="1" si="13">IF( O8 = 0, "", O8/O$14 )</f>
        <v>8.1081081081081086E-2</v>
      </c>
      <c r="Q8" s="317"/>
      <c r="R8" s="293">
        <f t="shared" ref="R8:R13" ca="1" si="14">COUNTIFS( $E$7:$E$66, R$3, $C$7:$C$66, $X8 )</f>
        <v>1</v>
      </c>
      <c r="S8" s="294">
        <f t="shared" ref="S8:S13" ca="1" si="15">IF( R8 = 0, "", R8/R$14 )</f>
        <v>5.5555555555555552E-2</v>
      </c>
      <c r="T8" s="317"/>
      <c r="U8" s="293">
        <f t="shared" ref="U8:U13" ca="1" si="16">COUNTIFS( $E$7:$E$66, U$3, $C$7:$C$66, $X8 )</f>
        <v>0</v>
      </c>
      <c r="V8" s="294" t="str">
        <f t="shared" ref="V8:V13" ca="1" si="17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8">SUM(O8, R8, U8)</f>
        <v>4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9">IF( LEN( $C8 ) = 0, "", IF( $C8 &lt; $AL8, 1, "" ) )</f>
        <v/>
      </c>
      <c r="AJ8" s="236">
        <f t="shared" ca="1" si="4"/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5"/>
        <v/>
      </c>
      <c r="AQ8" s="286" t="s">
        <v>17</v>
      </c>
      <c r="AR8" s="286" t="s">
        <v>16</v>
      </c>
      <c r="AS8" s="286">
        <v>19</v>
      </c>
      <c r="AT8" s="289" t="s">
        <v>306</v>
      </c>
      <c r="AV8" s="234">
        <f t="shared" ref="AV8:AV63" si="21">IF( LEN( AS8 ) = 0, 99, RANK( AS8, $AS$7:$AS$63 ) )</f>
        <v>12</v>
      </c>
      <c r="AW8" s="234">
        <f>COUNTIF( AV$7:AV8, AV8 )</f>
        <v>2</v>
      </c>
      <c r="AX8" s="287">
        <f t="shared" ref="AX8:AX63" si="22">AV8 + AW8 / 10</f>
        <v>12.2</v>
      </c>
      <c r="AY8" s="234">
        <f t="shared" ref="AY8:AY63" si="23">RANK( AX8, $AX$7:$AX$63, 1 )</f>
        <v>13</v>
      </c>
      <c r="AZ8" s="236"/>
      <c r="BA8" s="236"/>
      <c r="BC8" s="234">
        <f ca="1">OFFSET( BC8, -1, 0 ) + 1</f>
        <v>2</v>
      </c>
      <c r="BD8" s="288">
        <f t="shared" ca="1" si="7"/>
        <v>49</v>
      </c>
      <c r="BF8" s="240" t="str">
        <f t="shared" ca="1" si="8"/>
        <v>Southern Company</v>
      </c>
      <c r="BG8" s="240" t="str">
        <f t="shared" ca="1" si="9"/>
        <v>A</v>
      </c>
      <c r="BH8" s="240">
        <f t="shared" ca="1" si="9"/>
        <v>21</v>
      </c>
      <c r="BI8" s="240" t="str">
        <f t="shared" ca="1" si="9"/>
        <v>SO</v>
      </c>
    </row>
    <row r="9" spans="1:61" ht="13.8" x14ac:dyDescent="0.25">
      <c r="A9" s="303" t="s">
        <v>3</v>
      </c>
      <c r="B9" s="304" t="s">
        <v>10</v>
      </c>
      <c r="C9" s="304">
        <v>20</v>
      </c>
      <c r="D9" s="304" t="s">
        <v>291</v>
      </c>
      <c r="E9" s="305" t="str">
        <f t="shared" ca="1" si="0"/>
        <v>R</v>
      </c>
      <c r="F9" s="306"/>
      <c r="G9" s="307">
        <f t="shared" ca="1" si="1"/>
        <v>18</v>
      </c>
      <c r="H9" s="250"/>
      <c r="I9" s="318"/>
      <c r="J9" s="295" t="s">
        <v>10</v>
      </c>
      <c r="K9" s="318"/>
      <c r="L9" s="295">
        <f t="shared" si="10"/>
        <v>9</v>
      </c>
      <c r="M9" s="296">
        <f t="shared" si="11"/>
        <v>0.15517241379310345</v>
      </c>
      <c r="N9" s="318"/>
      <c r="O9" s="295">
        <f t="shared" ca="1" si="12"/>
        <v>6</v>
      </c>
      <c r="P9" s="296">
        <f t="shared" ca="1" si="13"/>
        <v>0.16216216216216217</v>
      </c>
      <c r="Q9" s="318"/>
      <c r="R9" s="295">
        <f t="shared" ca="1" si="14"/>
        <v>3</v>
      </c>
      <c r="S9" s="296">
        <f t="shared" ca="1" si="15"/>
        <v>0.16666666666666666</v>
      </c>
      <c r="T9" s="318"/>
      <c r="U9" s="295">
        <f t="shared" ca="1" si="16"/>
        <v>0</v>
      </c>
      <c r="V9" s="296" t="str">
        <f t="shared" ca="1" si="17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8"/>
        <v>9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9"/>
        <v/>
      </c>
      <c r="AJ9" s="236">
        <f t="shared" ca="1" si="4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5"/>
        <v/>
      </c>
      <c r="AQ9" s="286" t="s">
        <v>9</v>
      </c>
      <c r="AR9" s="286" t="s">
        <v>49</v>
      </c>
      <c r="AS9" s="286">
        <v>17</v>
      </c>
      <c r="AT9" s="286" t="s">
        <v>273</v>
      </c>
      <c r="AV9" s="234">
        <f t="shared" si="21"/>
        <v>41</v>
      </c>
      <c r="AW9" s="234">
        <f>COUNTIF( AV$7:AV9, AV9 )</f>
        <v>1</v>
      </c>
      <c r="AX9" s="287">
        <f t="shared" si="22"/>
        <v>41.1</v>
      </c>
      <c r="AY9" s="234">
        <f t="shared" si="23"/>
        <v>41</v>
      </c>
      <c r="AZ9" s="236"/>
      <c r="BA9" s="236"/>
      <c r="BC9" s="234">
        <f t="shared" ref="BC9:BC63" ca="1" si="24">OFFSET( BC9, -1, 0 ) + 1</f>
        <v>3</v>
      </c>
      <c r="BD9" s="288">
        <f t="shared" ca="1" si="7"/>
        <v>10</v>
      </c>
      <c r="BF9" s="240" t="str">
        <f t="shared" ca="1" si="8"/>
        <v>Consolidated Edison, Inc.</v>
      </c>
      <c r="BG9" s="240" t="str">
        <f t="shared" ca="1" si="9"/>
        <v>A-</v>
      </c>
      <c r="BH9" s="240">
        <f t="shared" ca="1" si="9"/>
        <v>20</v>
      </c>
      <c r="BI9" s="240" t="str">
        <f t="shared" ca="1" si="9"/>
        <v>ED</v>
      </c>
    </row>
    <row r="10" spans="1:61" ht="13.8" x14ac:dyDescent="0.25">
      <c r="A10" s="303" t="s">
        <v>18</v>
      </c>
      <c r="B10" s="304" t="s">
        <v>10</v>
      </c>
      <c r="C10" s="304">
        <v>20</v>
      </c>
      <c r="D10" s="304" t="s">
        <v>86</v>
      </c>
      <c r="E10" s="305" t="str">
        <f t="shared" ca="1" si="0"/>
        <v>MR</v>
      </c>
      <c r="F10" s="306"/>
      <c r="G10" s="307">
        <f t="shared" ca="1" si="1"/>
        <v>20</v>
      </c>
      <c r="H10" s="250"/>
      <c r="I10" s="318"/>
      <c r="J10" s="295" t="s">
        <v>16</v>
      </c>
      <c r="K10" s="318"/>
      <c r="L10" s="295">
        <f t="shared" si="10"/>
        <v>13</v>
      </c>
      <c r="M10" s="296">
        <f t="shared" si="11"/>
        <v>0.22413793103448276</v>
      </c>
      <c r="N10" s="318"/>
      <c r="O10" s="295">
        <f t="shared" ca="1" si="12"/>
        <v>6</v>
      </c>
      <c r="P10" s="296">
        <f t="shared" ca="1" si="13"/>
        <v>0.16216216216216217</v>
      </c>
      <c r="Q10" s="318"/>
      <c r="R10" s="295">
        <f t="shared" ca="1" si="14"/>
        <v>6</v>
      </c>
      <c r="S10" s="296">
        <f t="shared" ca="1" si="15"/>
        <v>0.33333333333333331</v>
      </c>
      <c r="T10" s="318"/>
      <c r="U10" s="295">
        <f t="shared" ca="1" si="16"/>
        <v>1</v>
      </c>
      <c r="V10" s="296">
        <f t="shared" ca="1" si="17"/>
        <v>0.33333333333333331</v>
      </c>
      <c r="W10" s="318"/>
      <c r="X10" s="256" t="s">
        <v>465</v>
      </c>
      <c r="Y10" s="256">
        <v>19</v>
      </c>
      <c r="Z10" s="256">
        <v>1</v>
      </c>
      <c r="AA10" s="255">
        <f t="shared" ca="1" si="18"/>
        <v>13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9"/>
        <v/>
      </c>
      <c r="AJ10" s="236">
        <f t="shared" ca="1" si="4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5"/>
        <v/>
      </c>
      <c r="AQ10" s="286" t="s">
        <v>258</v>
      </c>
      <c r="AR10" s="286" t="s">
        <v>28</v>
      </c>
      <c r="AS10" s="286">
        <v>18</v>
      </c>
      <c r="AT10" s="286" t="s">
        <v>274</v>
      </c>
      <c r="AV10" s="234">
        <f t="shared" si="21"/>
        <v>25</v>
      </c>
      <c r="AW10" s="234">
        <f>COUNTIF( AV$7:AV10, AV10 )</f>
        <v>1</v>
      </c>
      <c r="AX10" s="287">
        <f t="shared" si="22"/>
        <v>25.1</v>
      </c>
      <c r="AY10" s="234">
        <f t="shared" si="23"/>
        <v>25</v>
      </c>
      <c r="AZ10" s="236"/>
      <c r="BA10" s="236"/>
      <c r="BC10" s="234">
        <f t="shared" ca="1" si="24"/>
        <v>4</v>
      </c>
      <c r="BD10" s="288">
        <f t="shared" ca="1" si="7"/>
        <v>11</v>
      </c>
      <c r="BF10" s="240" t="str">
        <f t="shared" ca="1" si="8"/>
        <v>Dominion Resources, Inc.</v>
      </c>
      <c r="BG10" s="240" t="str">
        <f t="shared" ca="1" si="9"/>
        <v>A-</v>
      </c>
      <c r="BH10" s="240">
        <f t="shared" ca="1" si="9"/>
        <v>20</v>
      </c>
      <c r="BI10" s="240" t="str">
        <f t="shared" ca="1" si="9"/>
        <v>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0"/>
        <v>MR</v>
      </c>
      <c r="F11" s="306"/>
      <c r="G11" s="307">
        <f t="shared" ca="1" si="1"/>
        <v>22</v>
      </c>
      <c r="H11" s="250"/>
      <c r="I11" s="318"/>
      <c r="J11" s="295" t="s">
        <v>28</v>
      </c>
      <c r="K11" s="318"/>
      <c r="L11" s="295">
        <f t="shared" si="10"/>
        <v>16</v>
      </c>
      <c r="M11" s="296">
        <f t="shared" si="11"/>
        <v>0.27586206896551724</v>
      </c>
      <c r="N11" s="318"/>
      <c r="O11" s="295">
        <f t="shared" ca="1" si="12"/>
        <v>13</v>
      </c>
      <c r="P11" s="296">
        <f t="shared" ca="1" si="13"/>
        <v>0.35135135135135137</v>
      </c>
      <c r="Q11" s="318"/>
      <c r="R11" s="295">
        <f t="shared" ca="1" si="14"/>
        <v>3</v>
      </c>
      <c r="S11" s="296">
        <f t="shared" ca="1" si="15"/>
        <v>0.16666666666666666</v>
      </c>
      <c r="T11" s="318"/>
      <c r="U11" s="295">
        <f t="shared" ca="1" si="16"/>
        <v>0</v>
      </c>
      <c r="V11" s="296" t="str">
        <f t="shared" ca="1" si="17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8"/>
        <v>16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9"/>
        <v/>
      </c>
      <c r="AJ11" s="236">
        <f t="shared" ca="1" si="4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5"/>
        <v/>
      </c>
      <c r="AQ11" s="286" t="s">
        <v>55</v>
      </c>
      <c r="AR11" s="286" t="s">
        <v>28</v>
      </c>
      <c r="AS11" s="286">
        <v>18</v>
      </c>
      <c r="AT11" s="286" t="s">
        <v>277</v>
      </c>
      <c r="AV11" s="234">
        <f t="shared" si="21"/>
        <v>25</v>
      </c>
      <c r="AW11" s="234">
        <f>COUNTIF( AV$7:AV11, AV11 )</f>
        <v>2</v>
      </c>
      <c r="AX11" s="287">
        <f t="shared" si="22"/>
        <v>25.2</v>
      </c>
      <c r="AY11" s="234">
        <f t="shared" si="23"/>
        <v>26</v>
      </c>
      <c r="AZ11" s="236"/>
      <c r="BA11" s="236"/>
      <c r="BC11" s="234">
        <f t="shared" ca="1" si="24"/>
        <v>5</v>
      </c>
      <c r="BD11" s="288">
        <f t="shared" ca="1" si="7"/>
        <v>14</v>
      </c>
      <c r="BF11" s="240" t="str">
        <f t="shared" ca="1" si="8"/>
        <v>Duke Energy Corporation</v>
      </c>
      <c r="BG11" s="240" t="str">
        <f t="shared" ca="1" si="9"/>
        <v>A-</v>
      </c>
      <c r="BH11" s="240">
        <f t="shared" ca="1" si="9"/>
        <v>20</v>
      </c>
      <c r="BI11" s="240" t="str">
        <f t="shared" ca="1" si="9"/>
        <v>DUK</v>
      </c>
    </row>
    <row r="12" spans="1:61" ht="13.8" x14ac:dyDescent="0.25">
      <c r="A12" s="303" t="s">
        <v>451</v>
      </c>
      <c r="B12" s="304" t="s">
        <v>10</v>
      </c>
      <c r="C12" s="304">
        <v>20</v>
      </c>
      <c r="D12" s="304" t="s">
        <v>443</v>
      </c>
      <c r="E12" s="305" t="str">
        <f t="shared" ca="1" si="0"/>
        <v>R</v>
      </c>
      <c r="F12" s="306"/>
      <c r="G12" s="307">
        <f t="shared" ca="1" si="1"/>
        <v>65</v>
      </c>
      <c r="H12" s="250"/>
      <c r="I12" s="318"/>
      <c r="J12" s="295" t="s">
        <v>49</v>
      </c>
      <c r="K12" s="318"/>
      <c r="L12" s="295">
        <f t="shared" si="10"/>
        <v>11</v>
      </c>
      <c r="M12" s="296">
        <f t="shared" si="11"/>
        <v>0.18965517241379309</v>
      </c>
      <c r="N12" s="318"/>
      <c r="O12" s="295">
        <f t="shared" ca="1" si="12"/>
        <v>5</v>
      </c>
      <c r="P12" s="296">
        <f t="shared" ca="1" si="13"/>
        <v>0.13513513513513514</v>
      </c>
      <c r="Q12" s="318"/>
      <c r="R12" s="295">
        <f t="shared" ca="1" si="14"/>
        <v>5</v>
      </c>
      <c r="S12" s="296">
        <f t="shared" ca="1" si="15"/>
        <v>0.27777777777777779</v>
      </c>
      <c r="T12" s="318"/>
      <c r="U12" s="295">
        <f t="shared" ca="1" si="16"/>
        <v>1</v>
      </c>
      <c r="V12" s="296">
        <f t="shared" ca="1" si="17"/>
        <v>0.33333333333333331</v>
      </c>
      <c r="W12" s="318"/>
      <c r="X12" s="256" t="s">
        <v>467</v>
      </c>
      <c r="Y12" s="256">
        <v>17</v>
      </c>
      <c r="Z12" s="256">
        <v>1</v>
      </c>
      <c r="AA12" s="255">
        <f t="shared" ca="1" si="18"/>
        <v>11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9"/>
        <v/>
      </c>
      <c r="AJ12" s="236">
        <f t="shared" ca="1" si="4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5"/>
        <v/>
      </c>
      <c r="AQ12" s="286" t="s">
        <v>48</v>
      </c>
      <c r="AR12" s="286" t="s">
        <v>49</v>
      </c>
      <c r="AS12" s="286">
        <v>17</v>
      </c>
      <c r="AT12" s="286" t="s">
        <v>279</v>
      </c>
      <c r="AV12" s="234">
        <f t="shared" si="21"/>
        <v>41</v>
      </c>
      <c r="AW12" s="234">
        <f>COUNTIF( AV$7:AV12, AV12 )</f>
        <v>2</v>
      </c>
      <c r="AX12" s="287">
        <f t="shared" si="22"/>
        <v>41.2</v>
      </c>
      <c r="AY12" s="234">
        <f t="shared" si="23"/>
        <v>42</v>
      </c>
      <c r="AZ12" s="236"/>
      <c r="BA12" s="236"/>
      <c r="BC12" s="234">
        <f t="shared" ca="1" si="24"/>
        <v>6</v>
      </c>
      <c r="BD12" s="288">
        <f t="shared" ca="1" si="7"/>
        <v>24</v>
      </c>
      <c r="BF12" s="240" t="str">
        <f t="shared" ca="1" si="8"/>
        <v>Iberdrola USA</v>
      </c>
      <c r="BG12" s="240" t="str">
        <f t="shared" ca="1" si="9"/>
        <v>A-</v>
      </c>
      <c r="BH12" s="240">
        <f t="shared" ca="1" si="9"/>
        <v>20</v>
      </c>
      <c r="BI12" s="240" t="str">
        <f t="shared" ca="1" si="9"/>
        <v>**EAST</v>
      </c>
    </row>
    <row r="13" spans="1:61" ht="13.8" x14ac:dyDescent="0.25">
      <c r="A13" s="303" t="s">
        <v>253</v>
      </c>
      <c r="B13" s="304" t="s">
        <v>10</v>
      </c>
      <c r="C13" s="304">
        <v>20</v>
      </c>
      <c r="D13" s="304" t="s">
        <v>330</v>
      </c>
      <c r="E13" s="305" t="str">
        <f t="shared" ca="1" si="0"/>
        <v>R</v>
      </c>
      <c r="F13" s="306"/>
      <c r="G13" s="307">
        <f t="shared" ca="1" si="1"/>
        <v>32</v>
      </c>
      <c r="H13" s="250"/>
      <c r="I13" s="319"/>
      <c r="J13" s="297" t="s">
        <v>79</v>
      </c>
      <c r="K13" s="319"/>
      <c r="L13" s="297">
        <f t="shared" si="10"/>
        <v>5</v>
      </c>
      <c r="M13" s="298">
        <f t="shared" si="11"/>
        <v>8.6206896551724144E-2</v>
      </c>
      <c r="N13" s="319"/>
      <c r="O13" s="297">
        <f t="shared" ca="1" si="12"/>
        <v>4</v>
      </c>
      <c r="P13" s="298">
        <f t="shared" ca="1" si="13"/>
        <v>0.10810810810810811</v>
      </c>
      <c r="Q13" s="319"/>
      <c r="R13" s="297">
        <f t="shared" ca="1" si="14"/>
        <v>0</v>
      </c>
      <c r="S13" s="298" t="str">
        <f t="shared" ca="1" si="15"/>
        <v/>
      </c>
      <c r="T13" s="319"/>
      <c r="U13" s="297">
        <f t="shared" ca="1" si="16"/>
        <v>1</v>
      </c>
      <c r="V13" s="298">
        <f t="shared" ca="1" si="17"/>
        <v>0.33333333333333331</v>
      </c>
      <c r="W13" s="319"/>
      <c r="X13" s="256" t="s">
        <v>468</v>
      </c>
      <c r="Y13" s="256">
        <v>16</v>
      </c>
      <c r="Z13" s="256">
        <v>1</v>
      </c>
      <c r="AA13" s="259">
        <f t="shared" ca="1" si="18"/>
        <v>5</v>
      </c>
      <c r="AE13" s="254"/>
      <c r="AF13" s="236">
        <f t="shared" si="2"/>
        <v>1</v>
      </c>
      <c r="AG13" s="236">
        <f t="shared" ca="1" si="3"/>
        <v>1</v>
      </c>
      <c r="AH13" s="236" t="str">
        <f t="shared" ca="1" si="19"/>
        <v/>
      </c>
      <c r="AJ13" s="236">
        <f t="shared" ca="1" si="4"/>
        <v>21</v>
      </c>
      <c r="AK13" s="236" t="str">
        <f t="shared" ca="1" si="20"/>
        <v>BBB+</v>
      </c>
      <c r="AL13" s="236">
        <f t="shared" ca="1" si="20"/>
        <v>19</v>
      </c>
      <c r="AM13" s="236" t="str">
        <f t="shared" ca="1" si="5"/>
        <v>Change</v>
      </c>
      <c r="AQ13" s="286" t="s">
        <v>29</v>
      </c>
      <c r="AR13" s="286" t="s">
        <v>16</v>
      </c>
      <c r="AS13" s="286">
        <v>19</v>
      </c>
      <c r="AT13" s="289" t="s">
        <v>285</v>
      </c>
      <c r="AV13" s="234">
        <f t="shared" si="21"/>
        <v>12</v>
      </c>
      <c r="AW13" s="234">
        <f>COUNTIF( AV$7:AV13, AV13 )</f>
        <v>3</v>
      </c>
      <c r="AX13" s="287">
        <f t="shared" si="22"/>
        <v>12.3</v>
      </c>
      <c r="AY13" s="234">
        <f t="shared" si="23"/>
        <v>14</v>
      </c>
      <c r="AZ13" s="236"/>
      <c r="BA13" s="236"/>
      <c r="BC13" s="234">
        <f t="shared" ca="1" si="24"/>
        <v>7</v>
      </c>
      <c r="BD13" s="288">
        <f t="shared" ca="1" si="7"/>
        <v>26</v>
      </c>
      <c r="BF13" s="240" t="str">
        <f t="shared" ca="1" si="8"/>
        <v>Integrys Energy Group, Inc.</v>
      </c>
      <c r="BG13" s="240" t="str">
        <f t="shared" ca="1" si="9"/>
        <v>A-</v>
      </c>
      <c r="BH13" s="240">
        <f t="shared" ca="1" si="9"/>
        <v>20</v>
      </c>
      <c r="BI13" s="240" t="str">
        <f t="shared" ca="1" si="9"/>
        <v>TEG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0"/>
        <v>MR</v>
      </c>
      <c r="F14" s="306"/>
      <c r="G14" s="307">
        <f t="shared" ca="1" si="1"/>
        <v>35</v>
      </c>
      <c r="H14" s="250"/>
      <c r="I14" s="320"/>
      <c r="J14" s="291" t="s">
        <v>80</v>
      </c>
      <c r="K14" s="320"/>
      <c r="L14" s="291">
        <f>SUM(L8:L13)</f>
        <v>58</v>
      </c>
      <c r="M14" s="292">
        <f>L14/L$14</f>
        <v>1</v>
      </c>
      <c r="N14" s="320"/>
      <c r="O14" s="291">
        <f ca="1">SUM(O8:O13)</f>
        <v>37</v>
      </c>
      <c r="P14" s="292">
        <f ca="1">O14/O$14</f>
        <v>1</v>
      </c>
      <c r="Q14" s="320"/>
      <c r="R14" s="291">
        <f ca="1">SUM(R8:R13)</f>
        <v>18</v>
      </c>
      <c r="S14" s="292">
        <f ca="1">R14/R$14</f>
        <v>1</v>
      </c>
      <c r="T14" s="320"/>
      <c r="U14" s="291">
        <f ca="1">SUM(U8:U13)</f>
        <v>3</v>
      </c>
      <c r="V14" s="292">
        <f ca="1">U14/U$14</f>
        <v>1</v>
      </c>
      <c r="W14" s="320"/>
      <c r="Y14" s="261">
        <f>SUMPRODUCT( L8:L13, Y8:Y13 ) / L14</f>
        <v>18.379310344827587</v>
      </c>
      <c r="Z14" s="261"/>
      <c r="AA14" s="260">
        <f ca="1">SUM(AA8:AA13)</f>
        <v>58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9"/>
        <v/>
      </c>
      <c r="AJ14" s="236">
        <f t="shared" ca="1" si="4"/>
        <v>13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5"/>
        <v/>
      </c>
      <c r="AQ14" s="286" t="s">
        <v>30</v>
      </c>
      <c r="AR14" s="286" t="s">
        <v>28</v>
      </c>
      <c r="AS14" s="286">
        <v>18</v>
      </c>
      <c r="AT14" s="286" t="s">
        <v>284</v>
      </c>
      <c r="AV14" s="234">
        <f>IF( LEN( AS14 ) = 0, 99, RANK( AS14, $AS$7:$AS$63 ) )</f>
        <v>25</v>
      </c>
      <c r="AW14" s="234">
        <f>COUNTIF( AV$7:AV14, AV14 )</f>
        <v>3</v>
      </c>
      <c r="AX14" s="287">
        <f t="shared" si="22"/>
        <v>25.3</v>
      </c>
      <c r="AY14" s="234">
        <f t="shared" si="23"/>
        <v>27</v>
      </c>
      <c r="AZ14" s="236"/>
      <c r="BA14" s="236"/>
      <c r="BC14" s="234">
        <f t="shared" ca="1" si="24"/>
        <v>8</v>
      </c>
      <c r="BD14" s="288">
        <f t="shared" ca="1" si="7"/>
        <v>30</v>
      </c>
      <c r="BF14" s="240" t="str">
        <f t="shared" ca="1" si="8"/>
        <v>NextEra Energy, Inc.</v>
      </c>
      <c r="BG14" s="240" t="str">
        <f t="shared" ca="1" si="9"/>
        <v>A-</v>
      </c>
      <c r="BH14" s="240">
        <f t="shared" ca="1" si="9"/>
        <v>20</v>
      </c>
      <c r="BI14" s="240" t="str">
        <f t="shared" ca="1" si="9"/>
        <v>NEE</v>
      </c>
    </row>
    <row r="15" spans="1:61" ht="13.8" x14ac:dyDescent="0.25">
      <c r="A15" s="303" t="s">
        <v>14</v>
      </c>
      <c r="B15" s="304" t="s">
        <v>10</v>
      </c>
      <c r="C15" s="304">
        <v>20</v>
      </c>
      <c r="D15" s="304" t="s">
        <v>334</v>
      </c>
      <c r="E15" s="305" t="str">
        <f t="shared" ca="1" si="0"/>
        <v>R</v>
      </c>
      <c r="F15" s="306"/>
      <c r="G15" s="307">
        <f t="shared" ca="1" si="1"/>
        <v>58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9"/>
        <v/>
      </c>
      <c r="AJ15" s="236">
        <f t="shared" ca="1" si="4"/>
        <v>14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5"/>
        <v/>
      </c>
      <c r="AQ15" s="286" t="s">
        <v>60</v>
      </c>
      <c r="AR15" s="286" t="s">
        <v>49</v>
      </c>
      <c r="AS15" s="286">
        <v>17</v>
      </c>
      <c r="AT15" s="286" t="s">
        <v>283</v>
      </c>
      <c r="AV15" s="234">
        <f t="shared" si="21"/>
        <v>41</v>
      </c>
      <c r="AW15" s="234">
        <f>COUNTIF( AV$7:AV15, AV15 )</f>
        <v>3</v>
      </c>
      <c r="AX15" s="287">
        <f t="shared" si="22"/>
        <v>41.3</v>
      </c>
      <c r="AY15" s="234">
        <f t="shared" si="23"/>
        <v>43</v>
      </c>
      <c r="AZ15" s="236"/>
      <c r="BA15" s="236"/>
      <c r="BC15" s="234">
        <f t="shared" ca="1" si="24"/>
        <v>9</v>
      </c>
      <c r="BD15" s="288">
        <f t="shared" ca="1" si="7"/>
        <v>52</v>
      </c>
      <c r="BF15" s="240" t="str">
        <f t="shared" ca="1" si="8"/>
        <v>Vectren Corporation</v>
      </c>
      <c r="BG15" s="240" t="str">
        <f t="shared" ca="1" si="9"/>
        <v>A-</v>
      </c>
      <c r="BH15" s="240">
        <f t="shared" ca="1" si="9"/>
        <v>20</v>
      </c>
      <c r="BI15" s="240" t="str">
        <f t="shared" ca="1" si="9"/>
        <v>VVC</v>
      </c>
    </row>
    <row r="16" spans="1:61" ht="13.8" x14ac:dyDescent="0.25">
      <c r="A16" s="303" t="s">
        <v>26</v>
      </c>
      <c r="B16" s="304" t="s">
        <v>10</v>
      </c>
      <c r="C16" s="304">
        <v>20</v>
      </c>
      <c r="D16" s="304" t="s">
        <v>335</v>
      </c>
      <c r="E16" s="305" t="str">
        <f t="shared" ca="1" si="0"/>
        <v>R</v>
      </c>
      <c r="F16" s="306"/>
      <c r="G16" s="307">
        <f t="shared" ca="1" si="1"/>
        <v>60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18.293103448275861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18.378378378378379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18.666666666666668</v>
      </c>
      <c r="S16" s="501"/>
      <c r="T16" s="316"/>
      <c r="U16" s="500">
        <f t="array" aca="1" ref="U16" ca="1">SUM( IF( LEN( $C$7:$C$65 ) = 0, 0, IF( $E$7:$E$65 = U3, $C$7:$C$65, 0 ) ) ) / SUM( IF( LEN( $C$7:$C$65 ) = 0, 0, IF( $E$7:$E$65 = U3, 1, 0 ) ) )</f>
        <v>15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9"/>
        <v/>
      </c>
      <c r="AJ16" s="236">
        <f t="shared" ca="1" si="4"/>
        <v>15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5"/>
        <v/>
      </c>
      <c r="AQ16" s="286" t="s">
        <v>3</v>
      </c>
      <c r="AR16" s="286" t="s">
        <v>10</v>
      </c>
      <c r="AS16" s="286">
        <v>20</v>
      </c>
      <c r="AT16" s="286" t="s">
        <v>291</v>
      </c>
      <c r="AV16" s="234">
        <f t="shared" si="21"/>
        <v>3</v>
      </c>
      <c r="AW16" s="234">
        <f>COUNTIF( AV$7:AV16, AV16 )</f>
        <v>1</v>
      </c>
      <c r="AX16" s="287">
        <f t="shared" si="22"/>
        <v>3.1</v>
      </c>
      <c r="AY16" s="234">
        <f t="shared" si="23"/>
        <v>3</v>
      </c>
      <c r="AZ16" s="236"/>
      <c r="BA16" s="236"/>
      <c r="BC16" s="234">
        <f t="shared" ca="1" si="24"/>
        <v>10</v>
      </c>
      <c r="BD16" s="288">
        <f t="shared" ca="1" si="7"/>
        <v>54</v>
      </c>
      <c r="BF16" s="240" t="str">
        <f t="shared" ca="1" si="8"/>
        <v>Wisconsin Energy Corporation</v>
      </c>
      <c r="BG16" s="240" t="str">
        <f t="shared" ca="1" si="9"/>
        <v>A-</v>
      </c>
      <c r="BH16" s="240">
        <f t="shared" ca="1" si="9"/>
        <v>20</v>
      </c>
      <c r="BI16" s="240" t="str">
        <f t="shared" ca="1" si="9"/>
        <v>WEC</v>
      </c>
    </row>
    <row r="17" spans="1:61" ht="13.8" x14ac:dyDescent="0.25">
      <c r="A17" s="303" t="s">
        <v>257</v>
      </c>
      <c r="B17" s="304" t="s">
        <v>10</v>
      </c>
      <c r="C17" s="304">
        <v>20</v>
      </c>
      <c r="D17" s="304" t="s">
        <v>337</v>
      </c>
      <c r="E17" s="305" t="str">
        <f t="shared" ca="1" si="0"/>
        <v>R</v>
      </c>
      <c r="F17" s="306"/>
      <c r="G17" s="307">
        <f t="shared" ca="1" si="1"/>
        <v>61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9"/>
        <v/>
      </c>
      <c r="AJ17" s="236">
        <f t="shared" ca="1" si="4"/>
        <v>16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5"/>
        <v/>
      </c>
      <c r="AQ17" s="286" t="s">
        <v>18</v>
      </c>
      <c r="AR17" s="286" t="s">
        <v>10</v>
      </c>
      <c r="AS17" s="286">
        <v>20</v>
      </c>
      <c r="AT17" s="286" t="s">
        <v>86</v>
      </c>
      <c r="AV17" s="234">
        <f t="shared" si="21"/>
        <v>3</v>
      </c>
      <c r="AW17" s="234">
        <f>COUNTIF( AV$7:AV17, AV17 )</f>
        <v>2</v>
      </c>
      <c r="AX17" s="287">
        <f t="shared" si="22"/>
        <v>3.2</v>
      </c>
      <c r="AY17" s="234">
        <f t="shared" si="23"/>
        <v>4</v>
      </c>
      <c r="AZ17" s="236"/>
      <c r="BA17" s="236"/>
      <c r="BC17" s="234">
        <f t="shared" ca="1" si="24"/>
        <v>11</v>
      </c>
      <c r="BD17" s="288">
        <f t="shared" ca="1" si="7"/>
        <v>55</v>
      </c>
      <c r="BF17" s="240" t="str">
        <f t="shared" ca="1" si="8"/>
        <v>Xcel Energy Inc.</v>
      </c>
      <c r="BG17" s="240" t="str">
        <f t="shared" ca="1" si="9"/>
        <v>A-</v>
      </c>
      <c r="BH17" s="240">
        <f t="shared" ca="1" si="9"/>
        <v>20</v>
      </c>
      <c r="BI17" s="240" t="str">
        <f t="shared" ca="1" si="9"/>
        <v>XEL</v>
      </c>
    </row>
    <row r="18" spans="1:61" ht="13.8" x14ac:dyDescent="0.25">
      <c r="A18" s="303" t="s">
        <v>15</v>
      </c>
      <c r="B18" s="304" t="s">
        <v>16</v>
      </c>
      <c r="C18" s="304">
        <v>19</v>
      </c>
      <c r="D18" s="304" t="s">
        <v>276</v>
      </c>
      <c r="E18" s="305" t="str">
        <f t="shared" ca="1" si="0"/>
        <v>R</v>
      </c>
      <c r="F18" s="306"/>
      <c r="G18" s="307">
        <f t="shared" ca="1" si="1"/>
        <v>7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9"/>
        <v/>
      </c>
      <c r="AJ18" s="236">
        <f t="shared" ca="1" si="4"/>
        <v>17</v>
      </c>
      <c r="AK18" s="236" t="str">
        <f t="shared" ca="1" si="20"/>
        <v>BBB+</v>
      </c>
      <c r="AL18" s="236">
        <f t="shared" ca="1" si="20"/>
        <v>19</v>
      </c>
      <c r="AM18" s="236" t="str">
        <f t="shared" ca="1" si="5"/>
        <v/>
      </c>
      <c r="AQ18" s="286" t="s">
        <v>64</v>
      </c>
      <c r="AR18" s="286" t="s">
        <v>49</v>
      </c>
      <c r="AS18" s="286">
        <v>17</v>
      </c>
      <c r="AT18" s="286" t="s">
        <v>442</v>
      </c>
      <c r="AV18" s="234">
        <f t="shared" si="21"/>
        <v>41</v>
      </c>
      <c r="AW18" s="234">
        <f>COUNTIF( AV$7:AV18, AV18 )</f>
        <v>4</v>
      </c>
      <c r="AX18" s="287">
        <f t="shared" si="22"/>
        <v>41.4</v>
      </c>
      <c r="AY18" s="234">
        <f t="shared" si="23"/>
        <v>44</v>
      </c>
      <c r="AZ18" s="236"/>
      <c r="BA18" s="236"/>
      <c r="BC18" s="234">
        <f t="shared" ca="1" si="24"/>
        <v>12</v>
      </c>
      <c r="BD18" s="288">
        <f t="shared" ca="1" si="7"/>
        <v>1</v>
      </c>
      <c r="BF18" s="240" t="str">
        <f t="shared" ca="1" si="8"/>
        <v>ALLETE, Inc.</v>
      </c>
      <c r="BG18" s="240" t="str">
        <f t="shared" ca="1" si="9"/>
        <v>BBB+</v>
      </c>
      <c r="BH18" s="240">
        <f t="shared" ca="1" si="9"/>
        <v>19</v>
      </c>
      <c r="BI18" s="240" t="str">
        <f t="shared" ca="1" si="9"/>
        <v>ALE</v>
      </c>
    </row>
    <row r="19" spans="1:61" ht="13.8" x14ac:dyDescent="0.25">
      <c r="A19" s="303" t="s">
        <v>17</v>
      </c>
      <c r="B19" s="304" t="s">
        <v>16</v>
      </c>
      <c r="C19" s="304">
        <v>19</v>
      </c>
      <c r="D19" s="304" t="s">
        <v>306</v>
      </c>
      <c r="E19" s="305" t="str">
        <f t="shared" ca="1" si="0"/>
        <v>R</v>
      </c>
      <c r="F19" s="306"/>
      <c r="G19" s="307">
        <f t="shared" ca="1" si="1"/>
        <v>8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9"/>
        <v/>
      </c>
      <c r="AJ19" s="236">
        <f t="shared" ca="1" si="4"/>
        <v>18</v>
      </c>
      <c r="AK19" s="236" t="str">
        <f t="shared" ca="1" si="20"/>
        <v>BBB+</v>
      </c>
      <c r="AL19" s="236">
        <f t="shared" ca="1" si="20"/>
        <v>19</v>
      </c>
      <c r="AM19" s="236" t="str">
        <f t="shared" ca="1" si="5"/>
        <v/>
      </c>
      <c r="AQ19" s="286" t="s">
        <v>31</v>
      </c>
      <c r="AR19" s="286" t="s">
        <v>16</v>
      </c>
      <c r="AS19" s="286">
        <v>19</v>
      </c>
      <c r="AT19" s="286" t="s">
        <v>288</v>
      </c>
      <c r="AV19" s="234">
        <f t="shared" si="21"/>
        <v>12</v>
      </c>
      <c r="AW19" s="234">
        <f>COUNTIF( AV$7:AV19, AV19 )</f>
        <v>4</v>
      </c>
      <c r="AX19" s="287">
        <f t="shared" si="22"/>
        <v>12.4</v>
      </c>
      <c r="AY19" s="234">
        <f t="shared" si="23"/>
        <v>15</v>
      </c>
      <c r="AZ19" s="236"/>
      <c r="BA19" s="236"/>
      <c r="BC19" s="234">
        <f t="shared" ca="1" si="24"/>
        <v>13</v>
      </c>
      <c r="BD19" s="288">
        <f t="shared" ca="1" si="7"/>
        <v>2</v>
      </c>
      <c r="BF19" s="240" t="str">
        <f t="shared" ca="1" si="8"/>
        <v>Alliant Energy Corporation</v>
      </c>
      <c r="BG19" s="240" t="str">
        <f t="shared" ca="1" si="9"/>
        <v>BBB+</v>
      </c>
      <c r="BH19" s="240">
        <f t="shared" ca="1" si="9"/>
        <v>19</v>
      </c>
      <c r="BI19" s="240" t="str">
        <f t="shared" ca="1" si="9"/>
        <v>LNT</v>
      </c>
    </row>
    <row r="20" spans="1:61" ht="13.8" x14ac:dyDescent="0.25">
      <c r="A20" s="303" t="s">
        <v>29</v>
      </c>
      <c r="B20" s="304" t="s">
        <v>16</v>
      </c>
      <c r="C20" s="304">
        <v>19</v>
      </c>
      <c r="D20" s="304" t="s">
        <v>285</v>
      </c>
      <c r="E20" s="305" t="str">
        <f t="shared" ca="1" si="0"/>
        <v>MR</v>
      </c>
      <c r="F20" s="306"/>
      <c r="G20" s="307">
        <f t="shared" ca="1" si="1"/>
        <v>13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9"/>
        <v/>
      </c>
      <c r="AJ20" s="236">
        <f t="shared" ca="1" si="4"/>
        <v>19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5"/>
        <v/>
      </c>
      <c r="AQ20" s="286" t="s">
        <v>32</v>
      </c>
      <c r="AR20" s="286" t="s">
        <v>10</v>
      </c>
      <c r="AS20" s="286">
        <v>20</v>
      </c>
      <c r="AT20" s="286" t="s">
        <v>289</v>
      </c>
      <c r="AV20" s="234">
        <f t="shared" si="21"/>
        <v>3</v>
      </c>
      <c r="AW20" s="234">
        <f>COUNTIF( AV$7:AV20, AV20 )</f>
        <v>3</v>
      </c>
      <c r="AX20" s="287">
        <f t="shared" si="22"/>
        <v>3.3</v>
      </c>
      <c r="AY20" s="234">
        <f t="shared" si="23"/>
        <v>5</v>
      </c>
      <c r="AZ20" s="236"/>
      <c r="BA20" s="236"/>
      <c r="BC20" s="234">
        <f t="shared" ca="1" si="24"/>
        <v>14</v>
      </c>
      <c r="BD20" s="288">
        <f t="shared" ca="1" si="7"/>
        <v>7</v>
      </c>
      <c r="BF20" s="240" t="str">
        <f t="shared" ca="1" si="8"/>
        <v>CenterPoint Energy, Inc.</v>
      </c>
      <c r="BG20" s="240" t="str">
        <f t="shared" ca="1" si="9"/>
        <v>BBB+</v>
      </c>
      <c r="BH20" s="240">
        <f t="shared" ca="1" si="9"/>
        <v>19</v>
      </c>
      <c r="BI20" s="240" t="str">
        <f t="shared" ca="1" si="9"/>
        <v>CNP</v>
      </c>
    </row>
    <row r="21" spans="1:61" ht="13.8" x14ac:dyDescent="0.25">
      <c r="A21" s="303" t="s">
        <v>31</v>
      </c>
      <c r="B21" s="304" t="s">
        <v>16</v>
      </c>
      <c r="C21" s="304">
        <v>19</v>
      </c>
      <c r="D21" s="304" t="s">
        <v>288</v>
      </c>
      <c r="E21" s="305" t="str">
        <f t="shared" ca="1" si="0"/>
        <v>R</v>
      </c>
      <c r="F21" s="306"/>
      <c r="G21" s="307">
        <f t="shared" ca="1" si="1"/>
        <v>21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9"/>
        <v/>
      </c>
      <c r="AJ21" s="236">
        <f t="shared" ca="1" si="4"/>
        <v>20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5"/>
        <v/>
      </c>
      <c r="AQ21" s="286" t="s">
        <v>57</v>
      </c>
      <c r="AR21" s="286" t="s">
        <v>49</v>
      </c>
      <c r="AS21" s="286">
        <v>17</v>
      </c>
      <c r="AT21" s="286" t="s">
        <v>295</v>
      </c>
      <c r="AV21" s="234">
        <f t="shared" si="21"/>
        <v>41</v>
      </c>
      <c r="AW21" s="234">
        <f>COUNTIF( AV$7:AV21, AV21 )</f>
        <v>5</v>
      </c>
      <c r="AX21" s="287">
        <f t="shared" si="22"/>
        <v>41.5</v>
      </c>
      <c r="AY21" s="234">
        <f t="shared" si="23"/>
        <v>45</v>
      </c>
      <c r="AZ21" s="236"/>
      <c r="BA21" s="236"/>
      <c r="BC21" s="234">
        <f t="shared" ca="1" si="24"/>
        <v>15</v>
      </c>
      <c r="BD21" s="288">
        <f t="shared" ca="1" si="7"/>
        <v>13</v>
      </c>
      <c r="BF21" s="240" t="str">
        <f t="shared" ca="1" si="8"/>
        <v>DTE Energy Company</v>
      </c>
      <c r="BG21" s="240" t="str">
        <f t="shared" ca="1" si="9"/>
        <v>BBB+</v>
      </c>
      <c r="BH21" s="240">
        <f t="shared" ca="1" si="9"/>
        <v>19</v>
      </c>
      <c r="BI21" s="240" t="str">
        <f t="shared" ca="1" si="9"/>
        <v>DTE</v>
      </c>
    </row>
    <row r="22" spans="1:61" ht="13.8" x14ac:dyDescent="0.25">
      <c r="A22" s="303" t="s">
        <v>12</v>
      </c>
      <c r="B22" s="304" t="s">
        <v>16</v>
      </c>
      <c r="C22" s="304">
        <v>19</v>
      </c>
      <c r="D22" s="304" t="s">
        <v>308</v>
      </c>
      <c r="E22" s="305" t="str">
        <f t="shared" ca="1" si="0"/>
        <v>D</v>
      </c>
      <c r="F22" s="306"/>
      <c r="G22" s="307">
        <f t="shared" ca="1" si="1"/>
        <v>33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9"/>
        <v/>
      </c>
      <c r="AJ22" s="236">
        <f t="shared" ca="1" si="4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5"/>
        <v/>
      </c>
      <c r="AQ22" s="286" t="s">
        <v>34</v>
      </c>
      <c r="AR22" s="286" t="s">
        <v>28</v>
      </c>
      <c r="AS22" s="286">
        <v>18</v>
      </c>
      <c r="AT22" s="286" t="s">
        <v>293</v>
      </c>
      <c r="AV22" s="234">
        <f t="shared" si="21"/>
        <v>25</v>
      </c>
      <c r="AW22" s="234">
        <f>COUNTIF( AV$7:AV22, AV22 )</f>
        <v>4</v>
      </c>
      <c r="AX22" s="287">
        <f t="shared" si="22"/>
        <v>25.4</v>
      </c>
      <c r="AY22" s="234">
        <f t="shared" si="23"/>
        <v>28</v>
      </c>
      <c r="AZ22" s="236"/>
      <c r="BA22" s="236"/>
      <c r="BC22" s="234">
        <f t="shared" ca="1" si="24"/>
        <v>16</v>
      </c>
      <c r="BD22" s="288">
        <f t="shared" ca="1" si="7"/>
        <v>28</v>
      </c>
      <c r="BF22" s="240" t="str">
        <f t="shared" ca="1" si="8"/>
        <v>MDU Resources Group, Inc.</v>
      </c>
      <c r="BG22" s="240" t="str">
        <f t="shared" ca="1" si="9"/>
        <v>BBB+</v>
      </c>
      <c r="BH22" s="240">
        <f t="shared" ca="1" si="9"/>
        <v>19</v>
      </c>
      <c r="BI22" s="240" t="str">
        <f t="shared" ca="1" si="9"/>
        <v>MDU</v>
      </c>
    </row>
    <row r="23" spans="1:61" ht="13.8" x14ac:dyDescent="0.25">
      <c r="A23" s="303" t="s">
        <v>52</v>
      </c>
      <c r="B23" s="304" t="s">
        <v>16</v>
      </c>
      <c r="C23" s="304">
        <v>19</v>
      </c>
      <c r="D23" s="304" t="s">
        <v>446</v>
      </c>
      <c r="E23" s="305" t="str">
        <f t="shared" ca="1" si="0"/>
        <v>MR</v>
      </c>
      <c r="F23" s="306"/>
      <c r="G23" s="307">
        <f t="shared" ca="1" si="1"/>
        <v>67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9"/>
        <v/>
      </c>
      <c r="AJ23" s="236">
        <f t="shared" ca="1" si="4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5"/>
        <v/>
      </c>
      <c r="AQ23" s="286" t="s">
        <v>35</v>
      </c>
      <c r="AR23" s="286" t="s">
        <v>49</v>
      </c>
      <c r="AS23" s="286">
        <v>17</v>
      </c>
      <c r="AT23" s="286" t="s">
        <v>292</v>
      </c>
      <c r="AV23" s="234">
        <f t="shared" si="21"/>
        <v>41</v>
      </c>
      <c r="AW23" s="234">
        <f>COUNTIF( AV$7:AV23, AV23 )</f>
        <v>6</v>
      </c>
      <c r="AX23" s="287">
        <f t="shared" si="22"/>
        <v>41.6</v>
      </c>
      <c r="AY23" s="234">
        <f t="shared" si="23"/>
        <v>46</v>
      </c>
      <c r="AZ23" s="236"/>
      <c r="BA23" s="236"/>
      <c r="BC23" s="234">
        <f t="shared" ca="1" si="24"/>
        <v>17</v>
      </c>
      <c r="BD23" s="288">
        <f t="shared" ca="1" si="7"/>
        <v>29</v>
      </c>
      <c r="BF23" s="240" t="str">
        <f t="shared" ca="1" si="8"/>
        <v>MidAmerican Energy Holdings Company</v>
      </c>
      <c r="BG23" s="240" t="str">
        <f t="shared" ca="1" si="9"/>
        <v>BBB+</v>
      </c>
      <c r="BH23" s="240">
        <f t="shared" ca="1" si="9"/>
        <v>19</v>
      </c>
      <c r="BI23" s="240" t="str">
        <f t="shared" ca="1" si="9"/>
        <v>**BRK</v>
      </c>
    </row>
    <row r="24" spans="1:61" ht="13.8" x14ac:dyDescent="0.25">
      <c r="A24" s="303" t="s">
        <v>512</v>
      </c>
      <c r="B24" s="304" t="s">
        <v>16</v>
      </c>
      <c r="C24" s="304">
        <v>19</v>
      </c>
      <c r="D24" s="304" t="s">
        <v>511</v>
      </c>
      <c r="E24" s="305" t="str">
        <f t="shared" ca="1" si="0"/>
        <v>R</v>
      </c>
      <c r="F24" s="306"/>
      <c r="G24" s="307">
        <f t="shared" ca="1" si="1"/>
        <v>37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9"/>
        <v/>
      </c>
      <c r="AJ24" s="236">
        <f t="shared" ca="1" si="4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5"/>
        <v/>
      </c>
      <c r="AQ24" s="286" t="s">
        <v>248</v>
      </c>
      <c r="AR24" s="286" t="s">
        <v>125</v>
      </c>
      <c r="AS24" s="286">
        <v>9</v>
      </c>
      <c r="AT24" s="286" t="s">
        <v>444</v>
      </c>
      <c r="AV24" s="234">
        <f t="shared" si="21"/>
        <v>55</v>
      </c>
      <c r="AW24" s="234">
        <f>COUNTIF( AV$7:AV24, AV24 )</f>
        <v>1</v>
      </c>
      <c r="AX24" s="287">
        <f t="shared" si="22"/>
        <v>55.1</v>
      </c>
      <c r="AY24" s="234">
        <f t="shared" si="23"/>
        <v>55</v>
      </c>
      <c r="AZ24" s="236"/>
      <c r="BA24" s="236"/>
      <c r="BC24" s="234">
        <f t="shared" ca="1" si="24"/>
        <v>18</v>
      </c>
      <c r="BD24" s="288">
        <f t="shared" ca="1" si="7"/>
        <v>32</v>
      </c>
      <c r="BF24" s="240" t="str">
        <f t="shared" ca="1" si="8"/>
        <v>Eversource</v>
      </c>
      <c r="BG24" s="240" t="str">
        <f t="shared" ca="1" si="9"/>
        <v>BBB+</v>
      </c>
      <c r="BH24" s="240">
        <f t="shared" ca="1" si="9"/>
        <v>19</v>
      </c>
      <c r="BI24" s="240" t="str">
        <f t="shared" ca="1" si="9"/>
        <v>ES</v>
      </c>
    </row>
    <row r="25" spans="1:61" ht="13.8" x14ac:dyDescent="0.25">
      <c r="A25" s="303" t="s">
        <v>21</v>
      </c>
      <c r="B25" s="304" t="s">
        <v>16</v>
      </c>
      <c r="C25" s="304">
        <v>19</v>
      </c>
      <c r="D25" s="304" t="s">
        <v>315</v>
      </c>
      <c r="E25" s="305" t="str">
        <f t="shared" ca="1" si="0"/>
        <v>MR</v>
      </c>
      <c r="F25" s="306"/>
      <c r="G25" s="307">
        <f t="shared" ca="1" si="1"/>
        <v>41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9"/>
        <v/>
      </c>
      <c r="AJ25" s="236">
        <f t="shared" ca="1" si="4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5"/>
        <v/>
      </c>
      <c r="AQ25" s="286" t="s">
        <v>36</v>
      </c>
      <c r="AR25" s="286" t="s">
        <v>28</v>
      </c>
      <c r="AS25" s="286">
        <v>18</v>
      </c>
      <c r="AT25" s="286" t="s">
        <v>296</v>
      </c>
      <c r="AV25" s="234">
        <f t="shared" si="21"/>
        <v>25</v>
      </c>
      <c r="AW25" s="234">
        <f>COUNTIF( AV$7:AV25, AV25 )</f>
        <v>5</v>
      </c>
      <c r="AX25" s="287">
        <f t="shared" si="22"/>
        <v>25.5</v>
      </c>
      <c r="AY25" s="234">
        <f t="shared" si="23"/>
        <v>29</v>
      </c>
      <c r="AZ25" s="236"/>
      <c r="BA25" s="236"/>
      <c r="BC25" s="234">
        <f t="shared" ca="1" si="24"/>
        <v>19</v>
      </c>
      <c r="BD25" s="288">
        <f t="shared" ca="1" si="7"/>
        <v>36</v>
      </c>
      <c r="BF25" s="240" t="str">
        <f t="shared" ca="1" si="8"/>
        <v>OGE Energy Corp.</v>
      </c>
      <c r="BG25" s="240" t="str">
        <f t="shared" ca="1" si="9"/>
        <v>BBB+</v>
      </c>
      <c r="BH25" s="240">
        <f t="shared" ca="1" si="9"/>
        <v>19</v>
      </c>
      <c r="BI25" s="240" t="str">
        <f t="shared" ca="1" si="9"/>
        <v>OGE</v>
      </c>
    </row>
    <row r="26" spans="1:61" ht="13.8" x14ac:dyDescent="0.25">
      <c r="A26" s="303" t="s">
        <v>23</v>
      </c>
      <c r="B26" s="304" t="s">
        <v>16</v>
      </c>
      <c r="C26" s="304">
        <v>19</v>
      </c>
      <c r="D26" s="304" t="s">
        <v>322</v>
      </c>
      <c r="E26" s="305" t="str">
        <f t="shared" ca="1" si="0"/>
        <v>MR</v>
      </c>
      <c r="F26" s="306"/>
      <c r="G26" s="307">
        <f t="shared" ca="1" si="1"/>
        <v>43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9"/>
        <v/>
      </c>
      <c r="AJ26" s="236">
        <f t="shared" ca="1" si="4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5"/>
        <v/>
      </c>
      <c r="AQ26" s="286" t="s">
        <v>11</v>
      </c>
      <c r="AR26" s="286" t="s">
        <v>28</v>
      </c>
      <c r="AS26" s="286">
        <v>18</v>
      </c>
      <c r="AT26" s="286" t="s">
        <v>297</v>
      </c>
      <c r="AV26" s="234">
        <f t="shared" si="21"/>
        <v>25</v>
      </c>
      <c r="AW26" s="234">
        <f>COUNTIF( AV$7:AV26, AV26 )</f>
        <v>6</v>
      </c>
      <c r="AX26" s="287">
        <f t="shared" si="22"/>
        <v>25.6</v>
      </c>
      <c r="AY26" s="234">
        <f t="shared" si="23"/>
        <v>30</v>
      </c>
      <c r="AZ26" s="236"/>
      <c r="BA26" s="236"/>
      <c r="BC26" s="234">
        <f t="shared" ca="1" si="24"/>
        <v>20</v>
      </c>
      <c r="BD26" s="288">
        <f t="shared" ca="1" si="7"/>
        <v>38</v>
      </c>
      <c r="BF26" s="240" t="str">
        <f t="shared" ca="1" si="8"/>
        <v>Pepco Holdings, Inc.</v>
      </c>
      <c r="BG26" s="240" t="str">
        <f t="shared" ca="1" si="9"/>
        <v>BBB+</v>
      </c>
      <c r="BH26" s="240">
        <f t="shared" ca="1" si="9"/>
        <v>19</v>
      </c>
      <c r="BI26" s="240" t="str">
        <f t="shared" ca="1" si="9"/>
        <v>POM</v>
      </c>
    </row>
    <row r="27" spans="1:61" ht="13.8" x14ac:dyDescent="0.25">
      <c r="A27" s="303" t="s">
        <v>256</v>
      </c>
      <c r="B27" s="304" t="s">
        <v>16</v>
      </c>
      <c r="C27" s="304">
        <v>19</v>
      </c>
      <c r="D27" s="304" t="s">
        <v>319</v>
      </c>
      <c r="E27" s="305" t="str">
        <f t="shared" ca="1" si="0"/>
        <v>R</v>
      </c>
      <c r="F27" s="306"/>
      <c r="G27" s="307">
        <f t="shared" ca="1" si="1"/>
        <v>49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9"/>
        <v/>
      </c>
      <c r="AJ27" s="236">
        <f t="shared" ca="1" si="4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5"/>
        <v/>
      </c>
      <c r="AQ27" s="286" t="s">
        <v>51</v>
      </c>
      <c r="AR27" s="286" t="s">
        <v>49</v>
      </c>
      <c r="AS27" s="286">
        <v>17</v>
      </c>
      <c r="AT27" s="286" t="s">
        <v>298</v>
      </c>
      <c r="AV27" s="234">
        <f t="shared" si="21"/>
        <v>41</v>
      </c>
      <c r="AW27" s="234">
        <f>COUNTIF( AV$7:AV27, AV27 )</f>
        <v>7</v>
      </c>
      <c r="AX27" s="287">
        <f t="shared" si="22"/>
        <v>41.7</v>
      </c>
      <c r="AY27" s="234">
        <f t="shared" si="23"/>
        <v>47</v>
      </c>
      <c r="AZ27" s="236"/>
      <c r="BA27" s="236"/>
      <c r="BC27" s="234">
        <f t="shared" ca="1" si="24"/>
        <v>21</v>
      </c>
      <c r="BD27" s="288">
        <f t="shared" ca="1" si="7"/>
        <v>44</v>
      </c>
      <c r="BF27" s="240" t="str">
        <f t="shared" ca="1" si="8"/>
        <v>Progress Energy, Inc.</v>
      </c>
      <c r="BG27" s="240" t="str">
        <f t="shared" ca="1" si="9"/>
        <v>BBB+</v>
      </c>
      <c r="BH27" s="240">
        <f t="shared" ca="1" si="9"/>
        <v>19</v>
      </c>
      <c r="BI27" s="240" t="str">
        <f t="shared" ca="1" si="9"/>
        <v>PGN</v>
      </c>
    </row>
    <row r="28" spans="1:61" ht="13.8" x14ac:dyDescent="0.25">
      <c r="A28" s="303" t="s">
        <v>13</v>
      </c>
      <c r="B28" s="304" t="s">
        <v>16</v>
      </c>
      <c r="C28" s="304">
        <v>19</v>
      </c>
      <c r="D28" s="304" t="s">
        <v>326</v>
      </c>
      <c r="E28" s="305" t="str">
        <f t="shared" ca="1" si="0"/>
        <v>MR</v>
      </c>
      <c r="F28" s="306"/>
      <c r="G28" s="307">
        <f t="shared" ca="1" si="1"/>
        <v>51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9"/>
        <v/>
      </c>
      <c r="AJ28" s="236">
        <f t="shared" ca="1" si="4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5"/>
        <v/>
      </c>
      <c r="AQ28" s="286" t="s">
        <v>260</v>
      </c>
      <c r="AR28" s="286" t="s">
        <v>28</v>
      </c>
      <c r="AS28" s="286">
        <v>18</v>
      </c>
      <c r="AT28" s="286" t="s">
        <v>300</v>
      </c>
      <c r="AV28" s="234">
        <f t="shared" si="21"/>
        <v>25</v>
      </c>
      <c r="AW28" s="234">
        <f>COUNTIF( AV$7:AV28, AV28 )</f>
        <v>7</v>
      </c>
      <c r="AX28" s="287">
        <f t="shared" si="22"/>
        <v>25.7</v>
      </c>
      <c r="AY28" s="234">
        <f t="shared" si="23"/>
        <v>31</v>
      </c>
      <c r="AZ28" s="236"/>
      <c r="BA28" s="236"/>
      <c r="BC28" s="234">
        <f t="shared" ca="1" si="24"/>
        <v>22</v>
      </c>
      <c r="BD28" s="288">
        <f t="shared" ca="1" si="7"/>
        <v>47</v>
      </c>
      <c r="BF28" s="240" t="str">
        <f t="shared" ca="1" si="8"/>
        <v>SCANA Corporation</v>
      </c>
      <c r="BG28" s="240" t="str">
        <f t="shared" ca="1" si="9"/>
        <v>BBB+</v>
      </c>
      <c r="BH28" s="240">
        <f t="shared" ca="1" si="9"/>
        <v>19</v>
      </c>
      <c r="BI28" s="240" t="str">
        <f t="shared" ca="1" si="9"/>
        <v>SCG</v>
      </c>
    </row>
    <row r="29" spans="1:61" ht="13.8" x14ac:dyDescent="0.25">
      <c r="A29" s="303" t="s">
        <v>25</v>
      </c>
      <c r="B29" s="304" t="s">
        <v>16</v>
      </c>
      <c r="C29" s="304">
        <v>19</v>
      </c>
      <c r="D29" s="304" t="s">
        <v>328</v>
      </c>
      <c r="E29" s="305" t="str">
        <f t="shared" ca="1" si="0"/>
        <v>MR</v>
      </c>
      <c r="F29" s="306"/>
      <c r="G29" s="307">
        <f t="shared" ca="1" si="1"/>
        <v>52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9"/>
        <v/>
      </c>
      <c r="AJ29" s="236">
        <f t="shared" ca="1" si="4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5"/>
        <v/>
      </c>
      <c r="AQ29" s="286" t="s">
        <v>39</v>
      </c>
      <c r="AR29" s="286" t="s">
        <v>49</v>
      </c>
      <c r="AS29" s="286">
        <v>17</v>
      </c>
      <c r="AT29" s="286" t="s">
        <v>301</v>
      </c>
      <c r="AV29" s="234">
        <f t="shared" si="21"/>
        <v>41</v>
      </c>
      <c r="AW29" s="234">
        <f>COUNTIF( AV$7:AV29, AV29 )</f>
        <v>8</v>
      </c>
      <c r="AX29" s="287">
        <f t="shared" si="22"/>
        <v>41.8</v>
      </c>
      <c r="AY29" s="234">
        <f t="shared" si="23"/>
        <v>48</v>
      </c>
      <c r="AZ29" s="236"/>
      <c r="BA29" s="236"/>
      <c r="BC29" s="234">
        <f t="shared" ca="1" si="24"/>
        <v>23</v>
      </c>
      <c r="BD29" s="288">
        <f t="shared" ca="1" si="7"/>
        <v>48</v>
      </c>
      <c r="BF29" s="240" t="str">
        <f t="shared" ca="1" si="8"/>
        <v>Sempra Energy</v>
      </c>
      <c r="BG29" s="240" t="str">
        <f t="shared" ca="1" si="9"/>
        <v>BBB+</v>
      </c>
      <c r="BH29" s="240">
        <f t="shared" ca="1" si="9"/>
        <v>19</v>
      </c>
      <c r="BI29" s="240" t="str">
        <f t="shared" ca="1" si="9"/>
        <v>SRE</v>
      </c>
    </row>
    <row r="30" spans="1:61" ht="13.8" x14ac:dyDescent="0.25">
      <c r="A30" s="303" t="s">
        <v>62</v>
      </c>
      <c r="B30" s="304" t="s">
        <v>16</v>
      </c>
      <c r="C30" s="304">
        <v>19</v>
      </c>
      <c r="D30" s="304" t="s">
        <v>329</v>
      </c>
      <c r="E30" s="305" t="str">
        <f t="shared" ca="1" si="0"/>
        <v>R</v>
      </c>
      <c r="F30" s="306"/>
      <c r="G30" s="307">
        <f t="shared" ca="1" si="1"/>
        <v>54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9"/>
        <v/>
      </c>
      <c r="AJ30" s="236">
        <f t="shared" ca="1" si="4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5"/>
        <v/>
      </c>
      <c r="AQ30" s="286" t="s">
        <v>451</v>
      </c>
      <c r="AR30" s="286" t="s">
        <v>10</v>
      </c>
      <c r="AS30" s="286">
        <v>20</v>
      </c>
      <c r="AT30" s="286" t="s">
        <v>443</v>
      </c>
      <c r="AV30" s="234">
        <f t="shared" si="21"/>
        <v>3</v>
      </c>
      <c r="AW30" s="234">
        <f>COUNTIF( AV$7:AV30, AV30 )</f>
        <v>4</v>
      </c>
      <c r="AX30" s="287">
        <f t="shared" si="22"/>
        <v>3.4</v>
      </c>
      <c r="AY30" s="234">
        <f t="shared" si="23"/>
        <v>6</v>
      </c>
      <c r="AZ30" s="236"/>
      <c r="BA30" s="236"/>
      <c r="BC30" s="234">
        <f t="shared" ca="1" si="24"/>
        <v>24</v>
      </c>
      <c r="BD30" s="288">
        <f t="shared" ca="1" si="7"/>
        <v>50</v>
      </c>
      <c r="BF30" s="240" t="str">
        <f t="shared" ca="1" si="8"/>
        <v>TECO Energy, Inc.</v>
      </c>
      <c r="BG30" s="240" t="str">
        <f t="shared" ca="1" si="9"/>
        <v>BBB+</v>
      </c>
      <c r="BH30" s="240">
        <f t="shared" ca="1" si="9"/>
        <v>19</v>
      </c>
      <c r="BI30" s="240" t="str">
        <f t="shared" ca="1" si="9"/>
        <v>TE</v>
      </c>
    </row>
    <row r="31" spans="1:61" ht="13.8" x14ac:dyDescent="0.25">
      <c r="A31" s="303" t="s">
        <v>258</v>
      </c>
      <c r="B31" s="304" t="s">
        <v>28</v>
      </c>
      <c r="C31" s="304">
        <v>18</v>
      </c>
      <c r="D31" s="304" t="s">
        <v>274</v>
      </c>
      <c r="E31" s="305" t="str">
        <f t="shared" ca="1" si="0"/>
        <v>R</v>
      </c>
      <c r="F31" s="306"/>
      <c r="G31" s="307">
        <f t="shared" ca="1" si="1"/>
        <v>10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9"/>
        <v/>
      </c>
      <c r="AJ31" s="236">
        <f t="shared" ca="1" si="4"/>
        <v>31</v>
      </c>
      <c r="AK31" s="236" t="str">
        <f t="shared" ca="1" si="20"/>
        <v>BBB</v>
      </c>
      <c r="AL31" s="236">
        <f t="shared" ca="1" si="20"/>
        <v>18</v>
      </c>
      <c r="AM31" s="236" t="str">
        <f t="shared" ca="1" si="5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25</v>
      </c>
      <c r="AW31" s="234">
        <f>COUNTIF( AV$7:AV31, AV31 )</f>
        <v>8</v>
      </c>
      <c r="AX31" s="287">
        <f t="shared" si="22"/>
        <v>25.8</v>
      </c>
      <c r="AY31" s="234">
        <f t="shared" si="23"/>
        <v>32</v>
      </c>
      <c r="AZ31" s="236"/>
      <c r="BA31" s="236"/>
      <c r="BC31" s="234">
        <f t="shared" ca="1" si="24"/>
        <v>25</v>
      </c>
      <c r="BD31" s="288">
        <f t="shared" ca="1" si="7"/>
        <v>4</v>
      </c>
      <c r="BF31" s="240" t="str">
        <f t="shared" ca="1" si="8"/>
        <v>American Electric Power Company, Inc.</v>
      </c>
      <c r="BG31" s="240" t="str">
        <f t="shared" ca="1" si="9"/>
        <v>BBB</v>
      </c>
      <c r="BH31" s="240">
        <f t="shared" ca="1" si="9"/>
        <v>18</v>
      </c>
      <c r="BI31" s="240" t="str">
        <f t="shared" ca="1" si="9"/>
        <v>AEP</v>
      </c>
    </row>
    <row r="32" spans="1:61" ht="13.8" x14ac:dyDescent="0.25">
      <c r="A32" s="303" t="s">
        <v>55</v>
      </c>
      <c r="B32" s="304" t="s">
        <v>28</v>
      </c>
      <c r="C32" s="304">
        <v>18</v>
      </c>
      <c r="D32" s="304" t="s">
        <v>277</v>
      </c>
      <c r="E32" s="305" t="str">
        <f t="shared" ca="1" si="0"/>
        <v>R</v>
      </c>
      <c r="F32" s="306"/>
      <c r="G32" s="307">
        <f t="shared" ca="1" si="1"/>
        <v>11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9"/>
        <v/>
      </c>
      <c r="AJ32" s="236">
        <f t="shared" ca="1" si="4"/>
        <v>32</v>
      </c>
      <c r="AK32" s="236" t="str">
        <f t="shared" ca="1" si="20"/>
        <v>BBB</v>
      </c>
      <c r="AL32" s="236">
        <f t="shared" ca="1" si="20"/>
        <v>18</v>
      </c>
      <c r="AM32" s="236" t="str">
        <f t="shared" ca="1" si="5"/>
        <v/>
      </c>
      <c r="AQ32" s="286" t="s">
        <v>253</v>
      </c>
      <c r="AR32" s="286" t="s">
        <v>10</v>
      </c>
      <c r="AS32" s="286">
        <v>20</v>
      </c>
      <c r="AT32" s="286" t="s">
        <v>330</v>
      </c>
      <c r="AV32" s="234">
        <f t="shared" si="21"/>
        <v>3</v>
      </c>
      <c r="AW32" s="234">
        <f>COUNTIF( AV$7:AV32, AV32 )</f>
        <v>5</v>
      </c>
      <c r="AX32" s="287">
        <f t="shared" si="22"/>
        <v>3.5</v>
      </c>
      <c r="AY32" s="234">
        <f t="shared" si="23"/>
        <v>7</v>
      </c>
      <c r="AZ32" s="236"/>
      <c r="BA32" s="236"/>
      <c r="BC32" s="234">
        <f t="shared" ca="1" si="24"/>
        <v>26</v>
      </c>
      <c r="BD32" s="288">
        <f t="shared" ca="1" si="7"/>
        <v>5</v>
      </c>
      <c r="BF32" s="240" t="str">
        <f t="shared" ca="1" si="8"/>
        <v>Avista Corporation</v>
      </c>
      <c r="BG32" s="240" t="str">
        <f t="shared" ca="1" si="9"/>
        <v>BBB</v>
      </c>
      <c r="BH32" s="240">
        <f t="shared" ca="1" si="9"/>
        <v>18</v>
      </c>
      <c r="BI32" s="240" t="str">
        <f t="shared" ca="1" si="9"/>
        <v>AVA</v>
      </c>
    </row>
    <row r="33" spans="1:61" ht="13.8" x14ac:dyDescent="0.25">
      <c r="A33" s="303" t="s">
        <v>30</v>
      </c>
      <c r="B33" s="304" t="s">
        <v>28</v>
      </c>
      <c r="C33" s="304">
        <v>18</v>
      </c>
      <c r="D33" s="304" t="s">
        <v>284</v>
      </c>
      <c r="E33" s="305" t="str">
        <f t="shared" ca="1" si="0"/>
        <v>R</v>
      </c>
      <c r="F33" s="306"/>
      <c r="G33" s="307">
        <f t="shared" ca="1" si="1"/>
        <v>16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9"/>
        <v/>
      </c>
      <c r="AJ33" s="236">
        <f t="shared" ca="1" si="4"/>
        <v>33</v>
      </c>
      <c r="AK33" s="236" t="str">
        <f t="shared" ca="1" si="20"/>
        <v>BBB</v>
      </c>
      <c r="AL33" s="236">
        <f t="shared" ca="1" si="20"/>
        <v>18</v>
      </c>
      <c r="AM33" s="236" t="str">
        <f t="shared" ca="1" si="5"/>
        <v/>
      </c>
      <c r="AQ33" s="286" t="s">
        <v>58</v>
      </c>
      <c r="AR33" s="286" t="s">
        <v>49</v>
      </c>
      <c r="AS33" s="286">
        <v>17</v>
      </c>
      <c r="AT33" s="286" t="s">
        <v>445</v>
      </c>
      <c r="AV33" s="234">
        <f t="shared" si="21"/>
        <v>41</v>
      </c>
      <c r="AW33" s="234">
        <f>COUNTIF( AV$7:AV33, AV33 )</f>
        <v>9</v>
      </c>
      <c r="AX33" s="287">
        <f t="shared" si="22"/>
        <v>41.9</v>
      </c>
      <c r="AY33" s="234">
        <f t="shared" si="23"/>
        <v>49</v>
      </c>
      <c r="AZ33" s="236"/>
      <c r="BA33" s="236"/>
      <c r="BC33" s="234">
        <f t="shared" ca="1" si="24"/>
        <v>27</v>
      </c>
      <c r="BD33" s="288">
        <f t="shared" ca="1" si="7"/>
        <v>8</v>
      </c>
      <c r="BF33" s="240" t="str">
        <f t="shared" ca="1" si="8"/>
        <v>Cleco Corporation</v>
      </c>
      <c r="BG33" s="240" t="str">
        <f t="shared" ca="1" si="9"/>
        <v>BBB</v>
      </c>
      <c r="BH33" s="240">
        <f t="shared" ca="1" si="9"/>
        <v>18</v>
      </c>
      <c r="BI33" s="240" t="str">
        <f t="shared" ca="1" si="9"/>
        <v>CNL</v>
      </c>
    </row>
    <row r="34" spans="1:61" ht="13.8" x14ac:dyDescent="0.25">
      <c r="A34" s="303" t="s">
        <v>34</v>
      </c>
      <c r="B34" s="304" t="s">
        <v>28</v>
      </c>
      <c r="C34" s="304">
        <v>18</v>
      </c>
      <c r="D34" s="304" t="s">
        <v>293</v>
      </c>
      <c r="E34" s="305" t="str">
        <f t="shared" ca="1" si="0"/>
        <v>R</v>
      </c>
      <c r="F34" s="306"/>
      <c r="G34" s="307">
        <f t="shared" ca="1" si="1"/>
        <v>24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9"/>
        <v/>
      </c>
      <c r="AJ34" s="236">
        <f t="shared" ca="1" si="4"/>
        <v>34</v>
      </c>
      <c r="AK34" s="236" t="str">
        <f t="shared" ca="1" si="20"/>
        <v>BBB</v>
      </c>
      <c r="AL34" s="236">
        <f t="shared" ca="1" si="20"/>
        <v>18</v>
      </c>
      <c r="AM34" s="236" t="str">
        <f t="shared" ca="1" si="5"/>
        <v/>
      </c>
      <c r="AQ34" s="286" t="s">
        <v>12</v>
      </c>
      <c r="AR34" s="286" t="s">
        <v>16</v>
      </c>
      <c r="AS34" s="286">
        <v>19</v>
      </c>
      <c r="AT34" s="286" t="s">
        <v>308</v>
      </c>
      <c r="AV34" s="234">
        <f t="shared" si="21"/>
        <v>12</v>
      </c>
      <c r="AW34" s="234">
        <f>COUNTIF( AV$7:AV34, AV34 )</f>
        <v>5</v>
      </c>
      <c r="AX34" s="287">
        <f t="shared" si="22"/>
        <v>12.5</v>
      </c>
      <c r="AY34" s="234">
        <f t="shared" si="23"/>
        <v>16</v>
      </c>
      <c r="AZ34" s="236"/>
      <c r="BA34" s="236"/>
      <c r="BC34" s="234">
        <f t="shared" ca="1" si="24"/>
        <v>28</v>
      </c>
      <c r="BD34" s="288">
        <f t="shared" ca="1" si="7"/>
        <v>16</v>
      </c>
      <c r="BF34" s="240" t="str">
        <f t="shared" ca="1" si="8"/>
        <v>El Paso Electric Company</v>
      </c>
      <c r="BG34" s="240" t="str">
        <f t="shared" ca="1" si="9"/>
        <v>BBB</v>
      </c>
      <c r="BH34" s="240">
        <f t="shared" ca="1" si="9"/>
        <v>18</v>
      </c>
      <c r="BI34" s="240" t="str">
        <f t="shared" ca="1" si="9"/>
        <v>EE</v>
      </c>
    </row>
    <row r="35" spans="1:61" ht="13.8" x14ac:dyDescent="0.25">
      <c r="A35" s="303" t="s">
        <v>36</v>
      </c>
      <c r="B35" s="304" t="s">
        <v>28</v>
      </c>
      <c r="C35" s="304">
        <v>18</v>
      </c>
      <c r="D35" s="304" t="s">
        <v>296</v>
      </c>
      <c r="E35" s="305" t="str">
        <f t="shared" ca="1" si="0"/>
        <v>R</v>
      </c>
      <c r="F35" s="306"/>
      <c r="G35" s="307">
        <f t="shared" ca="1" si="1"/>
        <v>26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9"/>
        <v/>
      </c>
      <c r="AJ35" s="236">
        <f t="shared" ca="1" si="4"/>
        <v>35</v>
      </c>
      <c r="AK35" s="236" t="str">
        <f t="shared" ca="1" si="20"/>
        <v>BBB</v>
      </c>
      <c r="AL35" s="236">
        <f t="shared" ca="1" si="20"/>
        <v>18</v>
      </c>
      <c r="AM35" s="236" t="str">
        <f t="shared" ca="1" si="5"/>
        <v/>
      </c>
      <c r="AQ35" s="286" t="s">
        <v>52</v>
      </c>
      <c r="AR35" s="286" t="s">
        <v>16</v>
      </c>
      <c r="AS35" s="286">
        <v>19</v>
      </c>
      <c r="AT35" s="286" t="s">
        <v>446</v>
      </c>
      <c r="AV35" s="234">
        <f t="shared" si="21"/>
        <v>12</v>
      </c>
      <c r="AW35" s="234">
        <f>COUNTIF( AV$7:AV35, AV35 )</f>
        <v>6</v>
      </c>
      <c r="AX35" s="287">
        <f t="shared" si="22"/>
        <v>12.6</v>
      </c>
      <c r="AY35" s="234">
        <f t="shared" si="23"/>
        <v>17</v>
      </c>
      <c r="AZ35" s="236"/>
      <c r="BA35" s="236"/>
      <c r="BC35" s="234">
        <f t="shared" ca="1" si="24"/>
        <v>29</v>
      </c>
      <c r="BD35" s="288">
        <f t="shared" ca="1" si="7"/>
        <v>19</v>
      </c>
      <c r="BF35" s="240" t="str">
        <f t="shared" ca="1" si="8"/>
        <v>Entergy Corporation</v>
      </c>
      <c r="BG35" s="240" t="str">
        <f t="shared" ca="1" si="9"/>
        <v>BBB</v>
      </c>
      <c r="BH35" s="240">
        <f t="shared" ca="1" si="9"/>
        <v>18</v>
      </c>
      <c r="BI35" s="240" t="str">
        <f t="shared" ca="1" si="9"/>
        <v>ETR</v>
      </c>
    </row>
    <row r="36" spans="1:61" ht="13.8" x14ac:dyDescent="0.25">
      <c r="A36" s="303" t="s">
        <v>11</v>
      </c>
      <c r="B36" s="304" t="s">
        <v>28</v>
      </c>
      <c r="C36" s="304">
        <v>18</v>
      </c>
      <c r="D36" s="304" t="s">
        <v>297</v>
      </c>
      <c r="E36" s="305" t="str">
        <f t="shared" ca="1" si="0"/>
        <v>MR</v>
      </c>
      <c r="F36" s="306"/>
      <c r="G36" s="307">
        <f t="shared" ca="1" si="1"/>
        <v>27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9"/>
        <v/>
      </c>
      <c r="AJ36" s="236">
        <f t="shared" ca="1" si="4"/>
        <v>36</v>
      </c>
      <c r="AK36" s="236" t="str">
        <f t="shared" ca="1" si="20"/>
        <v>BBB</v>
      </c>
      <c r="AL36" s="236">
        <f t="shared" ca="1" si="20"/>
        <v>18</v>
      </c>
      <c r="AM36" s="236" t="str">
        <f t="shared" ca="1" si="5"/>
        <v/>
      </c>
      <c r="AQ36" s="286" t="s">
        <v>369</v>
      </c>
      <c r="AR36" s="286" t="s">
        <v>10</v>
      </c>
      <c r="AS36" s="286">
        <v>20</v>
      </c>
      <c r="AT36" s="286" t="s">
        <v>368</v>
      </c>
      <c r="AV36" s="234">
        <f t="shared" si="21"/>
        <v>3</v>
      </c>
      <c r="AW36" s="234">
        <f>COUNTIF( AV$7:AV36, AV36 )</f>
        <v>6</v>
      </c>
      <c r="AX36" s="287">
        <f t="shared" si="22"/>
        <v>3.6</v>
      </c>
      <c r="AY36" s="234">
        <f t="shared" si="23"/>
        <v>8</v>
      </c>
      <c r="AZ36" s="236"/>
      <c r="BA36" s="236"/>
      <c r="BC36" s="234">
        <f t="shared" ca="1" si="24"/>
        <v>30</v>
      </c>
      <c r="BD36" s="288">
        <f t="shared" ca="1" si="7"/>
        <v>20</v>
      </c>
      <c r="BF36" s="240" t="str">
        <f t="shared" ca="1" si="8"/>
        <v>Exelon Corporation</v>
      </c>
      <c r="BG36" s="240" t="str">
        <f t="shared" ca="1" si="9"/>
        <v>BBB</v>
      </c>
      <c r="BH36" s="240">
        <f t="shared" ca="1" si="9"/>
        <v>18</v>
      </c>
      <c r="BI36" s="240" t="str">
        <f t="shared" ca="1" si="9"/>
        <v>EXC</v>
      </c>
    </row>
    <row r="37" spans="1:61" ht="13.8" x14ac:dyDescent="0.25">
      <c r="A37" s="303" t="s">
        <v>260</v>
      </c>
      <c r="B37" s="304" t="s">
        <v>28</v>
      </c>
      <c r="C37" s="304">
        <v>18</v>
      </c>
      <c r="D37" s="304" t="s">
        <v>300</v>
      </c>
      <c r="E37" s="305" t="str">
        <f t="shared" ca="1" si="0"/>
        <v>R</v>
      </c>
      <c r="F37" s="306"/>
      <c r="G37" s="307">
        <f t="shared" ca="1" si="1"/>
        <v>29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9"/>
        <v/>
      </c>
      <c r="AJ37" s="236">
        <f t="shared" ca="1" si="4"/>
        <v>37</v>
      </c>
      <c r="AK37" s="236" t="str">
        <f t="shared" ca="1" si="20"/>
        <v>BBB</v>
      </c>
      <c r="AL37" s="236">
        <f t="shared" ca="1" si="20"/>
        <v>18</v>
      </c>
      <c r="AM37" s="236" t="str">
        <f t="shared" ca="1" si="5"/>
        <v/>
      </c>
      <c r="AQ37" s="286" t="s">
        <v>40</v>
      </c>
      <c r="AR37" s="286" t="s">
        <v>49</v>
      </c>
      <c r="AS37" s="286">
        <v>17</v>
      </c>
      <c r="AT37" s="286" t="s">
        <v>310</v>
      </c>
      <c r="AV37" s="234">
        <f t="shared" si="21"/>
        <v>41</v>
      </c>
      <c r="AW37" s="234">
        <f>COUNTIF( AV$7:AV37, AV37 )</f>
        <v>10</v>
      </c>
      <c r="AX37" s="287">
        <f t="shared" si="22"/>
        <v>42</v>
      </c>
      <c r="AY37" s="234">
        <f t="shared" si="23"/>
        <v>50</v>
      </c>
      <c r="AZ37" s="236"/>
      <c r="BA37" s="236"/>
      <c r="BC37" s="234">
        <f t="shared" ca="1" si="24"/>
        <v>31</v>
      </c>
      <c r="BD37" s="288">
        <f t="shared" ca="1" si="7"/>
        <v>22</v>
      </c>
      <c r="BF37" s="240" t="str">
        <f t="shared" ca="1" si="8"/>
        <v>Great Plains Energy Inc.</v>
      </c>
      <c r="BG37" s="240" t="str">
        <f t="shared" ca="1" si="9"/>
        <v>BBB</v>
      </c>
      <c r="BH37" s="240">
        <f t="shared" ca="1" si="9"/>
        <v>18</v>
      </c>
      <c r="BI37" s="240" t="str">
        <f t="shared" ca="1" si="9"/>
        <v>GXP</v>
      </c>
    </row>
    <row r="38" spans="1:61" ht="13.8" x14ac:dyDescent="0.25">
      <c r="A38" s="303" t="s">
        <v>20</v>
      </c>
      <c r="B38" s="304" t="s">
        <v>28</v>
      </c>
      <c r="C38" s="304">
        <v>18</v>
      </c>
      <c r="D38" s="304" t="s">
        <v>302</v>
      </c>
      <c r="E38" s="305" t="str">
        <f t="shared" ca="1" si="0"/>
        <v>R</v>
      </c>
      <c r="F38" s="306"/>
      <c r="G38" s="307">
        <f t="shared" ca="1" si="1"/>
        <v>31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9"/>
        <v/>
      </c>
      <c r="AJ38" s="236">
        <f t="shared" ca="1" si="4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5"/>
        <v/>
      </c>
      <c r="AQ38" s="286" t="s">
        <v>512</v>
      </c>
      <c r="AR38" s="286" t="s">
        <v>16</v>
      </c>
      <c r="AS38" s="286">
        <v>19</v>
      </c>
      <c r="AT38" s="286" t="s">
        <v>511</v>
      </c>
      <c r="AV38" s="234">
        <f t="shared" si="21"/>
        <v>12</v>
      </c>
      <c r="AW38" s="234">
        <f>COUNTIF( AV$7:AV38, AV38 )</f>
        <v>7</v>
      </c>
      <c r="AX38" s="287">
        <f t="shared" si="22"/>
        <v>12.7</v>
      </c>
      <c r="AY38" s="234">
        <f t="shared" si="23"/>
        <v>18</v>
      </c>
      <c r="AZ38" s="236"/>
      <c r="BA38" s="236"/>
      <c r="BC38" s="234">
        <f t="shared" ca="1" si="24"/>
        <v>32</v>
      </c>
      <c r="BD38" s="288">
        <f t="shared" ca="1" si="7"/>
        <v>25</v>
      </c>
      <c r="BF38" s="240" t="str">
        <f t="shared" ca="1" si="8"/>
        <v>IDACORP, Inc.</v>
      </c>
      <c r="BG38" s="240" t="str">
        <f t="shared" ca="1" si="9"/>
        <v>BBB</v>
      </c>
      <c r="BH38" s="240">
        <f t="shared" ca="1" si="9"/>
        <v>18</v>
      </c>
      <c r="BI38" s="240" t="str">
        <f t="shared" ca="1" si="9"/>
        <v>IDA</v>
      </c>
    </row>
    <row r="39" spans="1:61" ht="13.8" x14ac:dyDescent="0.25">
      <c r="A39" s="303" t="s">
        <v>66</v>
      </c>
      <c r="B39" s="304" t="s">
        <v>28</v>
      </c>
      <c r="C39" s="304">
        <v>18</v>
      </c>
      <c r="D39" s="304" t="s">
        <v>314</v>
      </c>
      <c r="E39" s="305" t="str">
        <f t="shared" ca="1" si="0"/>
        <v>R</v>
      </c>
      <c r="F39" s="306"/>
      <c r="G39" s="307">
        <f t="shared" ca="1" si="1"/>
        <v>38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9"/>
        <v/>
      </c>
      <c r="AJ39" s="236">
        <f t="shared" ca="1" si="4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5"/>
        <v/>
      </c>
      <c r="AQ39" s="286" t="s">
        <v>66</v>
      </c>
      <c r="AR39" s="286" t="s">
        <v>28</v>
      </c>
      <c r="AS39" s="286">
        <v>18</v>
      </c>
      <c r="AT39" s="286" t="s">
        <v>314</v>
      </c>
      <c r="AV39" s="234">
        <f t="shared" si="21"/>
        <v>25</v>
      </c>
      <c r="AW39" s="234">
        <f>COUNTIF( AV$7:AV39, AV39 )</f>
        <v>9</v>
      </c>
      <c r="AX39" s="287">
        <f t="shared" si="22"/>
        <v>25.9</v>
      </c>
      <c r="AY39" s="234">
        <f t="shared" si="23"/>
        <v>33</v>
      </c>
      <c r="AZ39" s="236"/>
      <c r="BA39" s="236"/>
      <c r="BC39" s="234">
        <f t="shared" ca="1" si="24"/>
        <v>33</v>
      </c>
      <c r="BD39" s="288">
        <f t="shared" ca="1" si="7"/>
        <v>33</v>
      </c>
      <c r="BF39" s="240" t="str">
        <f t="shared" ref="BF39:BF63" ca="1" si="25">OFFSET( AQ$6, $BD39, 0 )</f>
        <v>NorthWestern Corporation</v>
      </c>
      <c r="BG39" s="240" t="str">
        <f t="shared" ca="1" si="9"/>
        <v>BBB</v>
      </c>
      <c r="BH39" s="240">
        <f t="shared" ca="1" si="9"/>
        <v>18</v>
      </c>
      <c r="BI39" s="240" t="str">
        <f t="shared" ca="1" si="9"/>
        <v>NWE</v>
      </c>
    </row>
    <row r="40" spans="1:61" ht="13.8" x14ac:dyDescent="0.25">
      <c r="A40" s="303" t="s">
        <v>53</v>
      </c>
      <c r="B40" s="304" t="s">
        <v>28</v>
      </c>
      <c r="C40" s="304">
        <v>18</v>
      </c>
      <c r="D40" s="304" t="s">
        <v>317</v>
      </c>
      <c r="E40" s="305" t="str">
        <f t="shared" ca="1" si="0"/>
        <v>R</v>
      </c>
      <c r="F40" s="306"/>
      <c r="G40" s="307">
        <f t="shared" ca="1" si="1"/>
        <v>44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9"/>
        <v/>
      </c>
      <c r="AJ40" s="236">
        <f t="shared" ca="1" si="4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5"/>
        <v/>
      </c>
      <c r="AQ40" s="286" t="s">
        <v>6</v>
      </c>
      <c r="AR40" s="286" t="s">
        <v>110</v>
      </c>
      <c r="AS40" s="286">
        <v>22</v>
      </c>
      <c r="AT40" s="286" t="s">
        <v>312</v>
      </c>
      <c r="AV40" s="234">
        <f t="shared" si="21"/>
        <v>1</v>
      </c>
      <c r="AW40" s="234">
        <f>COUNTIF( AV$7:AV40, AV40 )</f>
        <v>1</v>
      </c>
      <c r="AX40" s="287">
        <f t="shared" si="22"/>
        <v>1.1000000000000001</v>
      </c>
      <c r="AY40" s="234">
        <f t="shared" si="23"/>
        <v>1</v>
      </c>
      <c r="AZ40" s="236"/>
      <c r="BA40" s="236"/>
      <c r="BC40" s="234">
        <f t="shared" ca="1" si="24"/>
        <v>34</v>
      </c>
      <c r="BD40" s="288">
        <f t="shared" ca="1" si="7"/>
        <v>39</v>
      </c>
      <c r="BF40" s="240" t="str">
        <f t="shared" ca="1" si="25"/>
        <v>PG&amp;E Corporation</v>
      </c>
      <c r="BG40" s="240" t="str">
        <f t="shared" ca="1" si="9"/>
        <v>BBB</v>
      </c>
      <c r="BH40" s="240">
        <f t="shared" ca="1" si="9"/>
        <v>18</v>
      </c>
      <c r="BI40" s="240" t="str">
        <f t="shared" ca="1" si="9"/>
        <v>PCG</v>
      </c>
    </row>
    <row r="41" spans="1:61" ht="13.8" x14ac:dyDescent="0.25">
      <c r="A41" s="303" t="s">
        <v>41</v>
      </c>
      <c r="B41" s="304" t="s">
        <v>28</v>
      </c>
      <c r="C41" s="304">
        <v>18</v>
      </c>
      <c r="D41" s="304" t="s">
        <v>321</v>
      </c>
      <c r="E41" s="305" t="str">
        <f t="shared" ca="1" si="0"/>
        <v>R</v>
      </c>
      <c r="F41" s="306"/>
      <c r="G41" s="307">
        <f t="shared" ca="1" si="1"/>
        <v>45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9"/>
        <v/>
      </c>
      <c r="AJ41" s="236">
        <f t="shared" ca="1" si="4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5"/>
        <v/>
      </c>
      <c r="AQ41" s="286" t="s">
        <v>265</v>
      </c>
      <c r="AR41" s="286" t="s">
        <v>56</v>
      </c>
      <c r="AS41" s="286">
        <v>16</v>
      </c>
      <c r="AT41" s="286" t="s">
        <v>313</v>
      </c>
      <c r="AV41" s="234">
        <f t="shared" si="21"/>
        <v>52</v>
      </c>
      <c r="AW41" s="234">
        <f>COUNTIF( AV$7:AV41, AV41 )</f>
        <v>1</v>
      </c>
      <c r="AX41" s="287">
        <f t="shared" si="22"/>
        <v>52.1</v>
      </c>
      <c r="AY41" s="234">
        <f t="shared" si="23"/>
        <v>52</v>
      </c>
      <c r="AZ41" s="236"/>
      <c r="BA41" s="236"/>
      <c r="BC41" s="234">
        <f t="shared" ca="1" si="24"/>
        <v>35</v>
      </c>
      <c r="BD41" s="288">
        <f t="shared" ca="1" si="7"/>
        <v>40</v>
      </c>
      <c r="BF41" s="240" t="str">
        <f t="shared" ca="1" si="25"/>
        <v>Pinnacle West Capital Corporation</v>
      </c>
      <c r="BG41" s="240" t="str">
        <f t="shared" ca="1" si="9"/>
        <v>BBB</v>
      </c>
      <c r="BH41" s="240">
        <f t="shared" ca="1" si="9"/>
        <v>18</v>
      </c>
      <c r="BI41" s="240" t="str">
        <f t="shared" ca="1" si="9"/>
        <v>PNW</v>
      </c>
    </row>
    <row r="42" spans="1:61" ht="13.8" x14ac:dyDescent="0.25">
      <c r="A42" s="303" t="s">
        <v>24</v>
      </c>
      <c r="B42" s="304" t="s">
        <v>28</v>
      </c>
      <c r="C42" s="304">
        <v>18</v>
      </c>
      <c r="D42" s="304" t="s">
        <v>323</v>
      </c>
      <c r="E42" s="305" t="str">
        <f t="shared" ca="1" si="0"/>
        <v>R</v>
      </c>
      <c r="F42" s="306"/>
      <c r="G42" s="307">
        <f t="shared" ca="1" si="1"/>
        <v>47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9"/>
        <v/>
      </c>
      <c r="AJ42" s="236">
        <f t="shared" ca="1" si="4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5"/>
        <v/>
      </c>
      <c r="AQ42" s="286" t="s">
        <v>21</v>
      </c>
      <c r="AR42" s="286" t="s">
        <v>16</v>
      </c>
      <c r="AS42" s="286">
        <v>19</v>
      </c>
      <c r="AT42" s="286" t="s">
        <v>315</v>
      </c>
      <c r="AV42" s="234">
        <f t="shared" si="21"/>
        <v>12</v>
      </c>
      <c r="AW42" s="234">
        <f>COUNTIF( AV$7:AV42, AV42 )</f>
        <v>8</v>
      </c>
      <c r="AX42" s="287">
        <f t="shared" si="22"/>
        <v>12.8</v>
      </c>
      <c r="AY42" s="234">
        <f t="shared" si="23"/>
        <v>19</v>
      </c>
      <c r="AZ42" s="236"/>
      <c r="BA42" s="236"/>
      <c r="BC42" s="234">
        <f t="shared" ca="1" si="24"/>
        <v>36</v>
      </c>
      <c r="BD42" s="288">
        <f t="shared" ca="1" si="7"/>
        <v>42</v>
      </c>
      <c r="BF42" s="240" t="str">
        <f t="shared" ca="1" si="25"/>
        <v>Portland General Electric Company</v>
      </c>
      <c r="BG42" s="240" t="str">
        <f t="shared" ca="1" si="9"/>
        <v>BBB</v>
      </c>
      <c r="BH42" s="240">
        <f t="shared" ca="1" si="9"/>
        <v>18</v>
      </c>
      <c r="BI42" s="240" t="str">
        <f t="shared" ca="1" si="9"/>
        <v>POR</v>
      </c>
    </row>
    <row r="43" spans="1:61" ht="13.8" x14ac:dyDescent="0.25">
      <c r="A43" s="303" t="s">
        <v>43</v>
      </c>
      <c r="B43" s="304" t="s">
        <v>28</v>
      </c>
      <c r="C43" s="304">
        <v>18</v>
      </c>
      <c r="D43" s="304" t="s">
        <v>324</v>
      </c>
      <c r="E43" s="305" t="str">
        <f t="shared" ca="1" si="0"/>
        <v>MR</v>
      </c>
      <c r="F43" s="306"/>
      <c r="G43" s="307">
        <f t="shared" ca="1" si="1"/>
        <v>48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9"/>
        <v/>
      </c>
      <c r="AJ43" s="236">
        <f t="shared" ca="1" si="4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5"/>
        <v/>
      </c>
      <c r="AQ43" s="286" t="s">
        <v>22</v>
      </c>
      <c r="AR43" s="286" t="s">
        <v>49</v>
      </c>
      <c r="AS43" s="286">
        <v>17</v>
      </c>
      <c r="AT43" s="286" t="s">
        <v>316</v>
      </c>
      <c r="AV43" s="234">
        <f t="shared" si="21"/>
        <v>41</v>
      </c>
      <c r="AW43" s="234">
        <f>COUNTIF( AV$7:AV43, AV43 )</f>
        <v>11</v>
      </c>
      <c r="AX43" s="287">
        <f t="shared" si="22"/>
        <v>42.1</v>
      </c>
      <c r="AY43" s="234">
        <f t="shared" si="23"/>
        <v>51</v>
      </c>
      <c r="AZ43" s="236"/>
      <c r="BA43" s="236"/>
      <c r="BC43" s="234">
        <f t="shared" ca="1" si="24"/>
        <v>37</v>
      </c>
      <c r="BD43" s="288">
        <f t="shared" ca="1" si="7"/>
        <v>43</v>
      </c>
      <c r="BF43" s="240" t="str">
        <f t="shared" ca="1" si="25"/>
        <v>PPL Corporation</v>
      </c>
      <c r="BG43" s="240" t="str">
        <f t="shared" ca="1" si="9"/>
        <v>BBB</v>
      </c>
      <c r="BH43" s="240">
        <f t="shared" ca="1" si="9"/>
        <v>18</v>
      </c>
      <c r="BI43" s="240" t="str">
        <f t="shared" ca="1" si="9"/>
        <v>PPL</v>
      </c>
    </row>
    <row r="44" spans="1:61" ht="13.8" x14ac:dyDescent="0.25">
      <c r="A44" s="303" t="s">
        <v>45</v>
      </c>
      <c r="B44" s="304" t="s">
        <v>28</v>
      </c>
      <c r="C44" s="304">
        <v>18</v>
      </c>
      <c r="D44" s="304" t="s">
        <v>318</v>
      </c>
      <c r="E44" s="305" t="str">
        <f t="shared" ca="1" si="0"/>
        <v>MR</v>
      </c>
      <c r="F44" s="306"/>
      <c r="G44" s="307">
        <f t="shared" ca="1" si="1"/>
        <v>50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9"/>
        <v/>
      </c>
      <c r="AJ44" s="236">
        <f t="shared" ca="1" si="4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5"/>
        <v/>
      </c>
      <c r="AQ44" s="286" t="s">
        <v>23</v>
      </c>
      <c r="AR44" s="286" t="s">
        <v>16</v>
      </c>
      <c r="AS44" s="286">
        <v>19</v>
      </c>
      <c r="AT44" s="286" t="s">
        <v>322</v>
      </c>
      <c r="AV44" s="234">
        <f t="shared" si="21"/>
        <v>12</v>
      </c>
      <c r="AW44" s="234">
        <f>COUNTIF( AV$7:AV44, AV44 )</f>
        <v>9</v>
      </c>
      <c r="AX44" s="287">
        <f t="shared" si="22"/>
        <v>12.9</v>
      </c>
      <c r="AY44" s="234">
        <f t="shared" si="23"/>
        <v>20</v>
      </c>
      <c r="AZ44" s="236"/>
      <c r="BA44" s="236"/>
      <c r="BC44" s="234">
        <f t="shared" ca="1" si="24"/>
        <v>38</v>
      </c>
      <c r="BD44" s="288">
        <f t="shared" ca="1" si="7"/>
        <v>45</v>
      </c>
      <c r="BF44" s="240" t="str">
        <f t="shared" ca="1" si="25"/>
        <v>Public Service Enterprise Group Incorporated</v>
      </c>
      <c r="BG44" s="240" t="str">
        <f t="shared" ca="1" si="9"/>
        <v>BBB</v>
      </c>
      <c r="BH44" s="240">
        <f t="shared" ca="1" si="9"/>
        <v>18</v>
      </c>
      <c r="BI44" s="240" t="str">
        <f t="shared" ca="1" si="9"/>
        <v>PEG</v>
      </c>
    </row>
    <row r="45" spans="1:61" ht="13.8" x14ac:dyDescent="0.25">
      <c r="A45" s="303" t="s">
        <v>75</v>
      </c>
      <c r="B45" s="304" t="s">
        <v>28</v>
      </c>
      <c r="C45" s="304">
        <v>18</v>
      </c>
      <c r="D45" s="304" t="s">
        <v>331</v>
      </c>
      <c r="E45" s="305" t="str">
        <f t="shared" ca="1" si="0"/>
        <v>R</v>
      </c>
      <c r="F45" s="306"/>
      <c r="G45" s="307">
        <f t="shared" ca="1" si="1"/>
        <v>55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9"/>
        <v/>
      </c>
      <c r="AJ45" s="236">
        <f t="shared" ca="1" si="4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5"/>
        <v/>
      </c>
      <c r="AQ45" s="286" t="s">
        <v>53</v>
      </c>
      <c r="AR45" s="286" t="s">
        <v>28</v>
      </c>
      <c r="AS45" s="286">
        <v>18</v>
      </c>
      <c r="AT45" s="286" t="s">
        <v>317</v>
      </c>
      <c r="AV45" s="234">
        <f t="shared" si="21"/>
        <v>25</v>
      </c>
      <c r="AW45" s="234">
        <f>COUNTIF( AV$7:AV45, AV45 )</f>
        <v>10</v>
      </c>
      <c r="AX45" s="287">
        <f t="shared" si="22"/>
        <v>26</v>
      </c>
      <c r="AY45" s="234">
        <f t="shared" si="23"/>
        <v>34</v>
      </c>
      <c r="AZ45" s="236"/>
      <c r="BA45" s="236"/>
      <c r="BC45" s="234">
        <f t="shared" ca="1" si="24"/>
        <v>39</v>
      </c>
      <c r="BD45" s="288">
        <f t="shared" ca="1" si="7"/>
        <v>51</v>
      </c>
      <c r="BF45" s="240" t="str">
        <f t="shared" ca="1" si="25"/>
        <v>UIL Holdings Corporation</v>
      </c>
      <c r="BG45" s="240" t="str">
        <f t="shared" ca="1" si="9"/>
        <v>BBB</v>
      </c>
      <c r="BH45" s="240">
        <f t="shared" ca="1" si="9"/>
        <v>18</v>
      </c>
      <c r="BI45" s="240" t="str">
        <f t="shared" ca="1" si="9"/>
        <v>UIL</v>
      </c>
    </row>
    <row r="46" spans="1:61" ht="13.8" x14ac:dyDescent="0.25">
      <c r="A46" s="303" t="s">
        <v>59</v>
      </c>
      <c r="B46" s="304" t="s">
        <v>28</v>
      </c>
      <c r="C46" s="304">
        <v>18</v>
      </c>
      <c r="D46" s="304" t="s">
        <v>336</v>
      </c>
      <c r="E46" s="305" t="str">
        <f t="shared" ca="1" si="0"/>
        <v>R</v>
      </c>
      <c r="F46" s="306"/>
      <c r="G46" s="307">
        <f t="shared" ca="1" si="1"/>
        <v>59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9"/>
        <v/>
      </c>
      <c r="AJ46" s="236">
        <f t="shared" ca="1" si="4"/>
        <v>46</v>
      </c>
      <c r="AK46" s="236" t="str">
        <f t="shared" ca="1" si="20"/>
        <v>BBB</v>
      </c>
      <c r="AL46" s="236">
        <f t="shared" ca="1" si="20"/>
        <v>18</v>
      </c>
      <c r="AM46" s="236" t="str">
        <f t="shared" ca="1" si="5"/>
        <v/>
      </c>
      <c r="AQ46" s="286" t="s">
        <v>41</v>
      </c>
      <c r="AR46" s="286" t="s">
        <v>28</v>
      </c>
      <c r="AS46" s="286">
        <v>18</v>
      </c>
      <c r="AT46" s="286" t="s">
        <v>321</v>
      </c>
      <c r="AV46" s="234">
        <f t="shared" si="21"/>
        <v>25</v>
      </c>
      <c r="AW46" s="234">
        <f>COUNTIF( AV$7:AV46, AV46 )</f>
        <v>11</v>
      </c>
      <c r="AX46" s="287">
        <f t="shared" si="22"/>
        <v>26.1</v>
      </c>
      <c r="AY46" s="234">
        <f t="shared" si="23"/>
        <v>35</v>
      </c>
      <c r="AZ46" s="236"/>
      <c r="BA46" s="236"/>
      <c r="BC46" s="234">
        <f t="shared" ca="1" si="24"/>
        <v>40</v>
      </c>
      <c r="BD46" s="288">
        <f t="shared" ca="1" si="7"/>
        <v>53</v>
      </c>
      <c r="BF46" s="240" t="str">
        <f t="shared" ca="1" si="25"/>
        <v>Westar Energy, Inc.</v>
      </c>
      <c r="BG46" s="240" t="str">
        <f t="shared" ca="1" si="9"/>
        <v>BBB</v>
      </c>
      <c r="BH46" s="240">
        <f t="shared" ca="1" si="9"/>
        <v>18</v>
      </c>
      <c r="BI46" s="240" t="str">
        <f t="shared" ca="1" si="9"/>
        <v>WR</v>
      </c>
    </row>
    <row r="47" spans="1:61" ht="13.8" x14ac:dyDescent="0.25">
      <c r="A47" s="303" t="s">
        <v>9</v>
      </c>
      <c r="B47" s="304" t="s">
        <v>49</v>
      </c>
      <c r="C47" s="304">
        <v>17</v>
      </c>
      <c r="D47" s="304" t="s">
        <v>273</v>
      </c>
      <c r="E47" s="305" t="str">
        <f t="shared" ca="1" si="0"/>
        <v>R</v>
      </c>
      <c r="F47" s="306"/>
      <c r="G47" s="307">
        <f t="shared" ca="1" si="1"/>
        <v>9</v>
      </c>
      <c r="H47" s="250"/>
      <c r="I47" s="250"/>
      <c r="J47" s="258" t="s">
        <v>267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9"/>
        <v/>
      </c>
      <c r="AJ47" s="236">
        <f t="shared" ca="1" si="4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5"/>
        <v/>
      </c>
      <c r="AQ47" s="286" t="s">
        <v>42</v>
      </c>
      <c r="AR47" s="286" t="s">
        <v>61</v>
      </c>
      <c r="AS47" s="286">
        <v>15</v>
      </c>
      <c r="AT47" s="286" t="s">
        <v>320</v>
      </c>
      <c r="AV47" s="234">
        <f t="shared" si="21"/>
        <v>54</v>
      </c>
      <c r="AW47" s="234">
        <f>COUNTIF( AV$7:AV47, AV47 )</f>
        <v>1</v>
      </c>
      <c r="AX47" s="287">
        <f t="shared" si="22"/>
        <v>54.1</v>
      </c>
      <c r="AY47" s="234">
        <f t="shared" si="23"/>
        <v>54</v>
      </c>
      <c r="AZ47" s="236"/>
      <c r="BA47" s="236"/>
      <c r="BC47" s="234">
        <f t="shared" ca="1" si="24"/>
        <v>41</v>
      </c>
      <c r="BD47" s="288">
        <f t="shared" ca="1" si="7"/>
        <v>3</v>
      </c>
      <c r="BF47" s="240" t="str">
        <f t="shared" ca="1" si="25"/>
        <v>Ameren Corporation</v>
      </c>
      <c r="BG47" s="240" t="str">
        <f t="shared" ca="1" si="9"/>
        <v>BBB-</v>
      </c>
      <c r="BH47" s="240">
        <f t="shared" ca="1" si="9"/>
        <v>17</v>
      </c>
      <c r="BI47" s="240" t="str">
        <f t="shared" ca="1" si="9"/>
        <v>AEE</v>
      </c>
    </row>
    <row r="48" spans="1:61" ht="13.8" x14ac:dyDescent="0.25">
      <c r="A48" s="303" t="s">
        <v>48</v>
      </c>
      <c r="B48" s="304" t="s">
        <v>49</v>
      </c>
      <c r="C48" s="304">
        <v>17</v>
      </c>
      <c r="D48" s="304" t="s">
        <v>279</v>
      </c>
      <c r="E48" s="305" t="str">
        <f t="shared" ca="1" si="0"/>
        <v>MR</v>
      </c>
      <c r="F48" s="306"/>
      <c r="G48" s="307">
        <f t="shared" ca="1" si="1"/>
        <v>12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9"/>
        <v/>
      </c>
      <c r="AJ48" s="236">
        <f t="shared" ca="1" si="4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5"/>
        <v/>
      </c>
      <c r="AQ48" s="286" t="s">
        <v>24</v>
      </c>
      <c r="AR48" s="286" t="s">
        <v>28</v>
      </c>
      <c r="AS48" s="286">
        <v>18</v>
      </c>
      <c r="AT48" s="286" t="s">
        <v>323</v>
      </c>
      <c r="AV48" s="234">
        <f t="shared" si="21"/>
        <v>25</v>
      </c>
      <c r="AW48" s="234">
        <f>COUNTIF( AV$7:AV48, AV48 )</f>
        <v>12</v>
      </c>
      <c r="AX48" s="287">
        <f t="shared" si="22"/>
        <v>26.2</v>
      </c>
      <c r="AY48" s="234">
        <f t="shared" si="23"/>
        <v>36</v>
      </c>
      <c r="AZ48" s="236"/>
      <c r="BA48" s="236"/>
      <c r="BC48" s="234">
        <f t="shared" ca="1" si="24"/>
        <v>42</v>
      </c>
      <c r="BD48" s="288">
        <f t="shared" ca="1" si="7"/>
        <v>6</v>
      </c>
      <c r="BF48" s="240" t="str">
        <f t="shared" ca="1" si="25"/>
        <v>Black Hills Corporation</v>
      </c>
      <c r="BG48" s="240" t="str">
        <f t="shared" ca="1" si="9"/>
        <v>BBB-</v>
      </c>
      <c r="BH48" s="240">
        <f t="shared" ca="1" si="9"/>
        <v>17</v>
      </c>
      <c r="BI48" s="240" t="str">
        <f t="shared" ca="1" si="9"/>
        <v>BKH</v>
      </c>
    </row>
    <row r="49" spans="1:61" ht="13.8" x14ac:dyDescent="0.25">
      <c r="A49" s="303" t="s">
        <v>60</v>
      </c>
      <c r="B49" s="304" t="s">
        <v>49</v>
      </c>
      <c r="C49" s="304">
        <v>17</v>
      </c>
      <c r="D49" s="304" t="s">
        <v>283</v>
      </c>
      <c r="E49" s="305" t="str">
        <f t="shared" ca="1" si="0"/>
        <v>R</v>
      </c>
      <c r="F49" s="306"/>
      <c r="G49" s="307">
        <f t="shared" ca="1" si="1"/>
        <v>17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9"/>
        <v/>
      </c>
      <c r="AJ49" s="236">
        <f t="shared" ca="1" si="4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5"/>
        <v/>
      </c>
      <c r="AQ49" s="286" t="s">
        <v>43</v>
      </c>
      <c r="AR49" s="286" t="s">
        <v>28</v>
      </c>
      <c r="AS49" s="286">
        <v>18</v>
      </c>
      <c r="AT49" s="286" t="s">
        <v>324</v>
      </c>
      <c r="AV49" s="234">
        <f t="shared" si="21"/>
        <v>25</v>
      </c>
      <c r="AW49" s="234">
        <f>COUNTIF( AV$7:AV49, AV49 )</f>
        <v>13</v>
      </c>
      <c r="AX49" s="287">
        <f t="shared" si="22"/>
        <v>26.3</v>
      </c>
      <c r="AY49" s="234">
        <f t="shared" si="23"/>
        <v>37</v>
      </c>
      <c r="AZ49" s="236"/>
      <c r="BA49" s="236"/>
      <c r="BC49" s="234">
        <f t="shared" ca="1" si="24"/>
        <v>43</v>
      </c>
      <c r="BD49" s="288">
        <f t="shared" ca="1" si="7"/>
        <v>9</v>
      </c>
      <c r="BF49" s="240" t="str">
        <f t="shared" ca="1" si="25"/>
        <v>CMS Energy Corporation</v>
      </c>
      <c r="BG49" s="240" t="str">
        <f t="shared" ca="1" si="9"/>
        <v>BBB-</v>
      </c>
      <c r="BH49" s="240">
        <f t="shared" ca="1" si="9"/>
        <v>17</v>
      </c>
      <c r="BI49" s="240" t="str">
        <f t="shared" ca="1" si="9"/>
        <v>CMS</v>
      </c>
    </row>
    <row r="50" spans="1:61" ht="13.8" x14ac:dyDescent="0.25">
      <c r="A50" s="303" t="s">
        <v>64</v>
      </c>
      <c r="B50" s="304" t="s">
        <v>49</v>
      </c>
      <c r="C50" s="304">
        <v>17</v>
      </c>
      <c r="D50" s="304" t="s">
        <v>442</v>
      </c>
      <c r="E50" s="305" t="str">
        <f t="shared" ca="1" si="0"/>
        <v>R</v>
      </c>
      <c r="F50" s="306"/>
      <c r="G50" s="307">
        <f t="shared" ca="1" si="1"/>
        <v>63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9"/>
        <v/>
      </c>
      <c r="AJ50" s="236">
        <f t="shared" ca="1" si="4"/>
        <v>51</v>
      </c>
      <c r="AK50" s="236" t="str">
        <f t="shared" ca="1" si="20"/>
        <v>BBB-</v>
      </c>
      <c r="AL50" s="236">
        <f t="shared" ca="1" si="20"/>
        <v>17</v>
      </c>
      <c r="AM50" s="236" t="str">
        <f t="shared" ca="1" si="5"/>
        <v/>
      </c>
      <c r="AQ50" s="286" t="s">
        <v>256</v>
      </c>
      <c r="AR50" s="286" t="s">
        <v>16</v>
      </c>
      <c r="AS50" s="286">
        <v>19</v>
      </c>
      <c r="AT50" s="286" t="s">
        <v>319</v>
      </c>
      <c r="AV50" s="234">
        <f t="shared" si="21"/>
        <v>12</v>
      </c>
      <c r="AW50" s="234">
        <f>COUNTIF( AV$7:AV50, AV50 )</f>
        <v>10</v>
      </c>
      <c r="AX50" s="287">
        <f t="shared" si="22"/>
        <v>13</v>
      </c>
      <c r="AY50" s="234">
        <f t="shared" si="23"/>
        <v>21</v>
      </c>
      <c r="AZ50" s="236"/>
      <c r="BA50" s="236"/>
      <c r="BC50" s="234">
        <f t="shared" ca="1" si="24"/>
        <v>44</v>
      </c>
      <c r="BD50" s="288">
        <f t="shared" ca="1" si="7"/>
        <v>12</v>
      </c>
      <c r="BF50" s="240" t="str">
        <f t="shared" ca="1" si="25"/>
        <v>DPL Inc.</v>
      </c>
      <c r="BG50" s="240" t="str">
        <f t="shared" ca="1" si="9"/>
        <v>BBB-</v>
      </c>
      <c r="BH50" s="240">
        <f t="shared" ca="1" si="9"/>
        <v>17</v>
      </c>
      <c r="BI50" s="240" t="str">
        <f t="shared" ca="1" si="9"/>
        <v>**DPL</v>
      </c>
    </row>
    <row r="51" spans="1:61" ht="13.8" x14ac:dyDescent="0.25">
      <c r="A51" s="303" t="s">
        <v>57</v>
      </c>
      <c r="B51" s="304" t="s">
        <v>49</v>
      </c>
      <c r="C51" s="304">
        <v>17</v>
      </c>
      <c r="D51" s="304" t="s">
        <v>295</v>
      </c>
      <c r="E51" s="305" t="str">
        <f t="shared" ca="1" si="0"/>
        <v>MR</v>
      </c>
      <c r="F51" s="306"/>
      <c r="G51" s="307">
        <f t="shared" ca="1" si="1"/>
        <v>23</v>
      </c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ca="1" si="3"/>
        <v/>
      </c>
      <c r="AH51" s="236" t="str">
        <f t="shared" ca="1" si="19"/>
        <v/>
      </c>
      <c r="AJ51" s="236">
        <f t="shared" ca="1" si="4"/>
        <v>52</v>
      </c>
      <c r="AK51" s="236" t="str">
        <f t="shared" ca="1" si="20"/>
        <v>BBB-</v>
      </c>
      <c r="AL51" s="236">
        <f t="shared" ca="1" si="20"/>
        <v>17</v>
      </c>
      <c r="AM51" s="236" t="str">
        <f t="shared" ca="1" si="5"/>
        <v/>
      </c>
      <c r="AQ51" s="286" t="s">
        <v>45</v>
      </c>
      <c r="AR51" s="286" t="s">
        <v>28</v>
      </c>
      <c r="AS51" s="286">
        <v>18</v>
      </c>
      <c r="AT51" s="289" t="s">
        <v>318</v>
      </c>
      <c r="AV51" s="234">
        <f t="shared" si="21"/>
        <v>25</v>
      </c>
      <c r="AW51" s="234">
        <f>COUNTIF( AV$7:AV51, AV51 )</f>
        <v>14</v>
      </c>
      <c r="AX51" s="287">
        <f t="shared" si="22"/>
        <v>26.4</v>
      </c>
      <c r="AY51" s="234">
        <f t="shared" si="23"/>
        <v>38</v>
      </c>
      <c r="AZ51" s="236"/>
      <c r="BA51" s="236"/>
      <c r="BC51" s="234">
        <f t="shared" ca="1" si="24"/>
        <v>45</v>
      </c>
      <c r="BD51" s="288">
        <f t="shared" ca="1" si="7"/>
        <v>15</v>
      </c>
      <c r="BF51" s="240" t="str">
        <f t="shared" ca="1" si="25"/>
        <v>Edison International</v>
      </c>
      <c r="BG51" s="240" t="str">
        <f t="shared" ca="1" si="9"/>
        <v>BBB-</v>
      </c>
      <c r="BH51" s="240">
        <f t="shared" ca="1" si="9"/>
        <v>17</v>
      </c>
      <c r="BI51" s="240" t="str">
        <f t="shared" ca="1" si="9"/>
        <v>EIX</v>
      </c>
    </row>
    <row r="52" spans="1:61" ht="13.8" x14ac:dyDescent="0.25">
      <c r="A52" s="303" t="s">
        <v>35</v>
      </c>
      <c r="B52" s="304" t="s">
        <v>49</v>
      </c>
      <c r="C52" s="304">
        <v>17</v>
      </c>
      <c r="D52" s="304" t="s">
        <v>292</v>
      </c>
      <c r="E52" s="305" t="str">
        <f t="shared" ca="1" si="0"/>
        <v>R</v>
      </c>
      <c r="F52" s="306"/>
      <c r="G52" s="307">
        <f t="shared" ca="1" si="1"/>
        <v>25</v>
      </c>
      <c r="H52" s="250"/>
      <c r="I52" s="250"/>
      <c r="J52" s="262"/>
      <c r="K52" s="262"/>
      <c r="AF52" s="236">
        <f t="shared" si="2"/>
        <v>0</v>
      </c>
      <c r="AG52" s="236" t="str">
        <f t="shared" ca="1" si="3"/>
        <v/>
      </c>
      <c r="AH52" s="236" t="str">
        <f t="shared" ca="1" si="19"/>
        <v/>
      </c>
      <c r="AJ52" s="236">
        <f t="shared" ca="1" si="4"/>
        <v>53</v>
      </c>
      <c r="AK52" s="236" t="str">
        <f t="shared" ca="1" si="20"/>
        <v>BBB-</v>
      </c>
      <c r="AL52" s="236">
        <f t="shared" ca="1" si="20"/>
        <v>17</v>
      </c>
      <c r="AM52" s="236" t="str">
        <f t="shared" ca="1" si="5"/>
        <v/>
      </c>
      <c r="AQ52" s="286" t="s">
        <v>54</v>
      </c>
      <c r="AR52" s="286" t="s">
        <v>56</v>
      </c>
      <c r="AS52" s="286">
        <v>16</v>
      </c>
      <c r="AT52" s="286" t="s">
        <v>448</v>
      </c>
      <c r="AV52" s="234">
        <f t="shared" si="21"/>
        <v>52</v>
      </c>
      <c r="AW52" s="234">
        <f>COUNTIF( AV$7:AV52, AV52 )</f>
        <v>2</v>
      </c>
      <c r="AX52" s="287">
        <f t="shared" si="22"/>
        <v>52.2</v>
      </c>
      <c r="AY52" s="234">
        <f t="shared" si="23"/>
        <v>53</v>
      </c>
      <c r="AZ52" s="236"/>
      <c r="BA52" s="236"/>
      <c r="BC52" s="234">
        <f t="shared" ca="1" si="24"/>
        <v>46</v>
      </c>
      <c r="BD52" s="288">
        <f t="shared" ca="1" si="7"/>
        <v>17</v>
      </c>
      <c r="BF52" s="240" t="str">
        <f t="shared" ca="1" si="25"/>
        <v>Empire District Electric Company</v>
      </c>
      <c r="BG52" s="240" t="str">
        <f t="shared" ca="1" si="9"/>
        <v>BBB-</v>
      </c>
      <c r="BH52" s="240">
        <f t="shared" ca="1" si="9"/>
        <v>17</v>
      </c>
      <c r="BI52" s="240" t="str">
        <f t="shared" ca="1" si="9"/>
        <v>EDE</v>
      </c>
    </row>
    <row r="53" spans="1:61" ht="13.8" x14ac:dyDescent="0.25">
      <c r="A53" s="303" t="s">
        <v>51</v>
      </c>
      <c r="B53" s="304" t="s">
        <v>49</v>
      </c>
      <c r="C53" s="304">
        <v>17</v>
      </c>
      <c r="D53" s="304" t="s">
        <v>298</v>
      </c>
      <c r="E53" s="305" t="str">
        <f t="shared" ca="1" si="0"/>
        <v>MR</v>
      </c>
      <c r="F53" s="306"/>
      <c r="G53" s="307">
        <f t="shared" ca="1" si="1"/>
        <v>28</v>
      </c>
      <c r="H53" s="250"/>
      <c r="I53" s="250"/>
      <c r="J53" s="262"/>
      <c r="K53" s="262"/>
      <c r="AF53" s="236">
        <f t="shared" si="2"/>
        <v>0</v>
      </c>
      <c r="AG53" s="236" t="str">
        <f t="shared" ca="1" si="3"/>
        <v/>
      </c>
      <c r="AH53" s="236" t="str">
        <f t="shared" ca="1" si="19"/>
        <v/>
      </c>
      <c r="AJ53" s="236">
        <f t="shared" ca="1" si="4"/>
        <v>54</v>
      </c>
      <c r="AK53" s="236" t="str">
        <f t="shared" ca="1" si="20"/>
        <v>BBB-</v>
      </c>
      <c r="AL53" s="236">
        <f t="shared" ca="1" si="20"/>
        <v>17</v>
      </c>
      <c r="AM53" s="236" t="str">
        <f t="shared" ca="1" si="5"/>
        <v/>
      </c>
      <c r="AQ53" s="286" t="s">
        <v>13</v>
      </c>
      <c r="AR53" s="286" t="s">
        <v>16</v>
      </c>
      <c r="AS53" s="286">
        <v>19</v>
      </c>
      <c r="AT53" s="286" t="s">
        <v>326</v>
      </c>
      <c r="AV53" s="234">
        <f t="shared" si="21"/>
        <v>12</v>
      </c>
      <c r="AW53" s="234">
        <f>COUNTIF( AV$7:AV53, AV53 )</f>
        <v>11</v>
      </c>
      <c r="AX53" s="287">
        <f t="shared" si="22"/>
        <v>13.1</v>
      </c>
      <c r="AY53" s="234">
        <f t="shared" si="23"/>
        <v>22</v>
      </c>
      <c r="AZ53" s="236"/>
      <c r="BA53" s="236"/>
      <c r="BC53" s="234">
        <f t="shared" ca="1" si="24"/>
        <v>47</v>
      </c>
      <c r="BD53" s="288">
        <f t="shared" ca="1" si="7"/>
        <v>21</v>
      </c>
      <c r="BF53" s="240" t="str">
        <f t="shared" ca="1" si="25"/>
        <v>FirstEnergy Corp.</v>
      </c>
      <c r="BG53" s="240" t="str">
        <f t="shared" ca="1" si="9"/>
        <v>BBB-</v>
      </c>
      <c r="BH53" s="240">
        <f t="shared" ca="1" si="9"/>
        <v>17</v>
      </c>
      <c r="BI53" s="240" t="str">
        <f t="shared" ca="1" si="9"/>
        <v>FE</v>
      </c>
    </row>
    <row r="54" spans="1:61" ht="13.8" x14ac:dyDescent="0.25">
      <c r="A54" s="303" t="s">
        <v>39</v>
      </c>
      <c r="B54" s="304" t="s">
        <v>49</v>
      </c>
      <c r="C54" s="304">
        <v>17</v>
      </c>
      <c r="D54" s="304" t="s">
        <v>301</v>
      </c>
      <c r="E54" s="305" t="str">
        <f t="shared" ca="1" si="0"/>
        <v>D</v>
      </c>
      <c r="F54" s="306"/>
      <c r="G54" s="307">
        <f t="shared" ca="1" si="1"/>
        <v>30</v>
      </c>
      <c r="H54" s="250"/>
      <c r="I54" s="250"/>
      <c r="J54" s="262"/>
      <c r="K54" s="262"/>
      <c r="AF54" s="236">
        <f t="shared" si="2"/>
        <v>0</v>
      </c>
      <c r="AG54" s="236" t="str">
        <f t="shared" ca="1" si="3"/>
        <v/>
      </c>
      <c r="AH54" s="236" t="str">
        <f t="shared" ca="1" si="19"/>
        <v/>
      </c>
      <c r="AJ54" s="236">
        <f t="shared" ca="1" si="4"/>
        <v>55</v>
      </c>
      <c r="AK54" s="236" t="str">
        <f t="shared" ca="1" si="20"/>
        <v>BBB-</v>
      </c>
      <c r="AL54" s="236">
        <f t="shared" ca="1" si="20"/>
        <v>17</v>
      </c>
      <c r="AM54" s="236" t="str">
        <f t="shared" ca="1" si="5"/>
        <v/>
      </c>
      <c r="AQ54" s="286" t="s">
        <v>25</v>
      </c>
      <c r="AR54" s="286" t="s">
        <v>16</v>
      </c>
      <c r="AS54" s="286">
        <v>19</v>
      </c>
      <c r="AT54" s="286" t="s">
        <v>328</v>
      </c>
      <c r="AV54" s="234">
        <f t="shared" si="21"/>
        <v>12</v>
      </c>
      <c r="AW54" s="234">
        <f>COUNTIF( AV$7:AV54, AV54 )</f>
        <v>12</v>
      </c>
      <c r="AX54" s="287">
        <f t="shared" si="22"/>
        <v>13.2</v>
      </c>
      <c r="AY54" s="234">
        <f t="shared" si="23"/>
        <v>23</v>
      </c>
      <c r="AZ54" s="236"/>
      <c r="BA54" s="236"/>
      <c r="BC54" s="234">
        <f t="shared" ca="1" si="24"/>
        <v>48</v>
      </c>
      <c r="BD54" s="288">
        <f t="shared" ca="1" si="7"/>
        <v>23</v>
      </c>
      <c r="BF54" s="240" t="str">
        <f t="shared" ca="1" si="25"/>
        <v>Hawaiian Electric Industries, Inc.</v>
      </c>
      <c r="BG54" s="240" t="str">
        <f t="shared" ca="1" si="9"/>
        <v>BBB-</v>
      </c>
      <c r="BH54" s="240">
        <f t="shared" ca="1" si="9"/>
        <v>17</v>
      </c>
      <c r="BI54" s="240" t="str">
        <f t="shared" ca="1" si="9"/>
        <v>HE</v>
      </c>
    </row>
    <row r="55" spans="1:61" ht="13.8" x14ac:dyDescent="0.25">
      <c r="A55" s="303" t="s">
        <v>58</v>
      </c>
      <c r="B55" s="304" t="s">
        <v>49</v>
      </c>
      <c r="C55" s="304">
        <v>17</v>
      </c>
      <c r="D55" s="304" t="s">
        <v>445</v>
      </c>
      <c r="E55" s="305" t="str">
        <f t="shared" ca="1" si="0"/>
        <v>R</v>
      </c>
      <c r="F55" s="306"/>
      <c r="G55" s="307">
        <f t="shared" ca="1" si="1"/>
        <v>66</v>
      </c>
      <c r="H55" s="250"/>
      <c r="I55" s="250"/>
      <c r="J55" s="262"/>
      <c r="K55" s="262"/>
      <c r="AF55" s="236">
        <f t="shared" si="2"/>
        <v>0</v>
      </c>
      <c r="AG55" s="236" t="str">
        <f t="shared" ca="1" si="3"/>
        <v/>
      </c>
      <c r="AH55" s="236" t="str">
        <f t="shared" ca="1" si="19"/>
        <v/>
      </c>
      <c r="AJ55" s="236">
        <f t="shared" ca="1" si="4"/>
        <v>56</v>
      </c>
      <c r="AK55" s="236" t="str">
        <f t="shared" ca="1" si="20"/>
        <v>BBB-</v>
      </c>
      <c r="AL55" s="236">
        <f t="shared" ca="1" si="20"/>
        <v>17</v>
      </c>
      <c r="AM55" s="236" t="str">
        <f t="shared" ca="1" si="5"/>
        <v/>
      </c>
      <c r="AQ55" s="286" t="s">
        <v>7</v>
      </c>
      <c r="AR55" s="286" t="s">
        <v>2</v>
      </c>
      <c r="AS55" s="286">
        <v>21</v>
      </c>
      <c r="AT55" s="289" t="s">
        <v>327</v>
      </c>
      <c r="AV55" s="234">
        <f t="shared" si="21"/>
        <v>2</v>
      </c>
      <c r="AW55" s="234">
        <f>COUNTIF( AV$7:AV55, AV55 )</f>
        <v>1</v>
      </c>
      <c r="AX55" s="287">
        <f t="shared" si="22"/>
        <v>2.1</v>
      </c>
      <c r="AY55" s="234">
        <f t="shared" si="23"/>
        <v>2</v>
      </c>
      <c r="AZ55" s="236"/>
      <c r="BA55" s="236"/>
      <c r="BC55" s="234">
        <f t="shared" ca="1" si="24"/>
        <v>49</v>
      </c>
      <c r="BD55" s="288">
        <f t="shared" ca="1" si="7"/>
        <v>27</v>
      </c>
      <c r="BF55" s="240" t="str">
        <f t="shared" ca="1" si="25"/>
        <v>IPALCO Enterprises, Inc.</v>
      </c>
      <c r="BG55" s="240" t="str">
        <f t="shared" ca="1" si="9"/>
        <v>BBB-</v>
      </c>
      <c r="BH55" s="240">
        <f t="shared" ca="1" si="9"/>
        <v>17</v>
      </c>
      <c r="BI55" s="240" t="str">
        <f t="shared" ca="1" si="9"/>
        <v>**IPALCO</v>
      </c>
    </row>
    <row r="56" spans="1:61" ht="13.8" x14ac:dyDescent="0.25">
      <c r="A56" s="303" t="s">
        <v>40</v>
      </c>
      <c r="B56" s="304" t="s">
        <v>49</v>
      </c>
      <c r="C56" s="304">
        <v>17</v>
      </c>
      <c r="D56" s="304" t="s">
        <v>310</v>
      </c>
      <c r="E56" s="305" t="str">
        <f t="shared" ca="1" si="0"/>
        <v>MR</v>
      </c>
      <c r="F56" s="306"/>
      <c r="G56" s="307">
        <f t="shared" ca="1" si="1"/>
        <v>36</v>
      </c>
      <c r="H56" s="250"/>
      <c r="I56" s="250"/>
      <c r="J56" s="262"/>
      <c r="K56" s="262"/>
      <c r="AF56" s="236">
        <f t="shared" si="2"/>
        <v>0</v>
      </c>
      <c r="AG56" s="236" t="str">
        <f t="shared" ca="1" si="3"/>
        <v/>
      </c>
      <c r="AH56" s="236" t="str">
        <f t="shared" ca="1" si="19"/>
        <v/>
      </c>
      <c r="AJ56" s="236">
        <f t="shared" ca="1" si="4"/>
        <v>57</v>
      </c>
      <c r="AK56" s="236" t="str">
        <f t="shared" ca="1" si="20"/>
        <v>BBB-</v>
      </c>
      <c r="AL56" s="236">
        <f t="shared" ca="1" si="20"/>
        <v>17</v>
      </c>
      <c r="AM56" s="236" t="str">
        <f t="shared" ca="1" si="5"/>
        <v/>
      </c>
      <c r="AQ56" s="286" t="s">
        <v>62</v>
      </c>
      <c r="AR56" s="286" t="s">
        <v>16</v>
      </c>
      <c r="AS56" s="286">
        <v>19</v>
      </c>
      <c r="AT56" s="286" t="s">
        <v>329</v>
      </c>
      <c r="AV56" s="234">
        <f t="shared" si="21"/>
        <v>12</v>
      </c>
      <c r="AW56" s="234">
        <f>COUNTIF( AV$7:AV56, AV56 )</f>
        <v>13</v>
      </c>
      <c r="AX56" s="287">
        <f t="shared" si="22"/>
        <v>13.3</v>
      </c>
      <c r="AY56" s="234">
        <f t="shared" si="23"/>
        <v>24</v>
      </c>
      <c r="AZ56" s="236"/>
      <c r="BA56" s="236"/>
      <c r="BC56" s="234">
        <f t="shared" ca="1" si="24"/>
        <v>50</v>
      </c>
      <c r="BD56" s="288">
        <f t="shared" ca="1" si="7"/>
        <v>31</v>
      </c>
      <c r="BF56" s="240" t="str">
        <f t="shared" ca="1" si="25"/>
        <v>NiSource Inc.</v>
      </c>
      <c r="BG56" s="240" t="str">
        <f t="shared" ca="1" si="9"/>
        <v>BBB-</v>
      </c>
      <c r="BH56" s="240">
        <f t="shared" ca="1" si="9"/>
        <v>17</v>
      </c>
      <c r="BI56" s="240" t="str">
        <f t="shared" ca="1" si="9"/>
        <v>NI</v>
      </c>
    </row>
    <row r="57" spans="1:61" ht="13.8" x14ac:dyDescent="0.25">
      <c r="A57" s="303" t="s">
        <v>22</v>
      </c>
      <c r="B57" s="304" t="s">
        <v>49</v>
      </c>
      <c r="C57" s="304">
        <v>17</v>
      </c>
      <c r="D57" s="304" t="s">
        <v>316</v>
      </c>
      <c r="E57" s="305" t="str">
        <f t="shared" ca="1" si="0"/>
        <v>MR</v>
      </c>
      <c r="F57" s="306"/>
      <c r="G57" s="307">
        <f t="shared" ca="1" si="1"/>
        <v>42</v>
      </c>
      <c r="H57" s="250"/>
      <c r="I57" s="250"/>
      <c r="J57" s="262"/>
      <c r="K57" s="262"/>
      <c r="AF57" s="236">
        <f t="shared" si="2"/>
        <v>0</v>
      </c>
      <c r="AG57" s="236" t="str">
        <f t="shared" ca="1" si="3"/>
        <v/>
      </c>
      <c r="AH57" s="236" t="str">
        <f t="shared" ca="1" si="19"/>
        <v/>
      </c>
      <c r="AJ57" s="236">
        <f t="shared" ca="1" si="4"/>
        <v>58</v>
      </c>
      <c r="AK57" s="236" t="str">
        <f t="shared" ca="1" si="20"/>
        <v>BBB-</v>
      </c>
      <c r="AL57" s="236">
        <f t="shared" ca="1" si="20"/>
        <v>17</v>
      </c>
      <c r="AM57" s="236" t="str">
        <f t="shared" ca="1" si="5"/>
        <v/>
      </c>
      <c r="AQ57" s="286" t="s">
        <v>75</v>
      </c>
      <c r="AR57" s="286" t="s">
        <v>28</v>
      </c>
      <c r="AS57" s="286">
        <v>18</v>
      </c>
      <c r="AT57" s="286" t="s">
        <v>331</v>
      </c>
      <c r="AV57" s="234">
        <f t="shared" si="21"/>
        <v>25</v>
      </c>
      <c r="AW57" s="234">
        <f>COUNTIF( AV$7:AV57, AV57 )</f>
        <v>15</v>
      </c>
      <c r="AX57" s="287">
        <f t="shared" si="22"/>
        <v>26.5</v>
      </c>
      <c r="AY57" s="234">
        <f t="shared" si="23"/>
        <v>39</v>
      </c>
      <c r="AZ57" s="236"/>
      <c r="BA57" s="236"/>
      <c r="BC57" s="234">
        <f t="shared" ca="1" si="24"/>
        <v>51</v>
      </c>
      <c r="BD57" s="288">
        <f t="shared" ca="1" si="7"/>
        <v>37</v>
      </c>
      <c r="BF57" s="240" t="str">
        <f t="shared" ca="1" si="25"/>
        <v>Otter Tail Corporation</v>
      </c>
      <c r="BG57" s="240" t="str">
        <f t="shared" ca="1" si="9"/>
        <v>BBB-</v>
      </c>
      <c r="BH57" s="240">
        <f t="shared" ca="1" si="9"/>
        <v>17</v>
      </c>
      <c r="BI57" s="240" t="str">
        <f t="shared" ca="1" si="9"/>
        <v>OTTR</v>
      </c>
    </row>
    <row r="58" spans="1:61" ht="13.8" x14ac:dyDescent="0.25">
      <c r="A58" s="303" t="s">
        <v>265</v>
      </c>
      <c r="B58" s="304" t="s">
        <v>56</v>
      </c>
      <c r="C58" s="304">
        <v>16</v>
      </c>
      <c r="D58" s="304" t="s">
        <v>313</v>
      </c>
      <c r="E58" s="305" t="str">
        <f t="shared" ca="1" si="0"/>
        <v>R</v>
      </c>
      <c r="F58" s="306"/>
      <c r="G58" s="307">
        <f t="shared" ca="1" si="1"/>
        <v>40</v>
      </c>
      <c r="H58" s="250"/>
      <c r="I58" s="250"/>
      <c r="J58" s="262"/>
      <c r="K58" s="262"/>
      <c r="AF58" s="236">
        <f t="shared" si="2"/>
        <v>1</v>
      </c>
      <c r="AG58" s="236" t="str">
        <f t="shared" ca="1" si="3"/>
        <v/>
      </c>
      <c r="AH58" s="236" t="str">
        <f t="shared" ca="1" si="19"/>
        <v/>
      </c>
      <c r="AJ58" s="236">
        <f t="shared" ca="1" si="4"/>
        <v>59</v>
      </c>
      <c r="AK58" s="236" t="str">
        <f t="shared" ca="1" si="20"/>
        <v>BB+</v>
      </c>
      <c r="AL58" s="236">
        <f t="shared" ca="1" si="20"/>
        <v>16</v>
      </c>
      <c r="AM58" s="236" t="str">
        <f t="shared" ca="1" si="5"/>
        <v/>
      </c>
      <c r="AQ58" s="286" t="s">
        <v>14</v>
      </c>
      <c r="AR58" s="286" t="s">
        <v>10</v>
      </c>
      <c r="AS58" s="286">
        <v>20</v>
      </c>
      <c r="AT58" s="286" t="s">
        <v>334</v>
      </c>
      <c r="AV58" s="234">
        <f t="shared" si="21"/>
        <v>3</v>
      </c>
      <c r="AW58" s="234">
        <f>COUNTIF( AV$7:AV58, AV58 )</f>
        <v>7</v>
      </c>
      <c r="AX58" s="287">
        <f t="shared" si="22"/>
        <v>3.7</v>
      </c>
      <c r="AY58" s="234">
        <f t="shared" si="23"/>
        <v>9</v>
      </c>
      <c r="AZ58" s="236"/>
      <c r="BA58" s="236"/>
      <c r="BC58" s="234">
        <f t="shared" ca="1" si="24"/>
        <v>52</v>
      </c>
      <c r="BD58" s="288">
        <f t="shared" ca="1" si="7"/>
        <v>35</v>
      </c>
      <c r="BF58" s="240" t="str">
        <f t="shared" ca="1" si="25"/>
        <v>NV Energy, Inc.</v>
      </c>
      <c r="BG58" s="240" t="str">
        <f t="shared" ca="1" si="9"/>
        <v>BB+</v>
      </c>
      <c r="BH58" s="240">
        <f t="shared" ca="1" si="9"/>
        <v>16</v>
      </c>
      <c r="BI58" s="240" t="str">
        <f t="shared" ca="1" si="9"/>
        <v>NVE</v>
      </c>
    </row>
    <row r="59" spans="1:61" ht="13.8" x14ac:dyDescent="0.25">
      <c r="A59" s="303" t="s">
        <v>54</v>
      </c>
      <c r="B59" s="304" t="s">
        <v>56</v>
      </c>
      <c r="C59" s="304">
        <v>16</v>
      </c>
      <c r="D59" s="304" t="s">
        <v>448</v>
      </c>
      <c r="E59" s="305" t="str">
        <f t="shared" ca="1" si="0"/>
        <v>R</v>
      </c>
      <c r="F59" s="306"/>
      <c r="G59" s="307">
        <f t="shared" ca="1" si="1"/>
        <v>68</v>
      </c>
      <c r="H59" s="250"/>
      <c r="I59" s="250"/>
      <c r="J59" s="262"/>
      <c r="K59" s="262"/>
      <c r="AF59" s="236">
        <f t="shared" si="2"/>
        <v>1</v>
      </c>
      <c r="AG59" s="236" t="str">
        <f t="shared" ca="1" si="3"/>
        <v/>
      </c>
      <c r="AH59" s="236" t="str">
        <f t="shared" ca="1" si="19"/>
        <v/>
      </c>
      <c r="AJ59" s="236">
        <f t="shared" ca="1" si="4"/>
        <v>60</v>
      </c>
      <c r="AK59" s="236" t="str">
        <f t="shared" ca="1" si="20"/>
        <v>BB+</v>
      </c>
      <c r="AL59" s="236">
        <f t="shared" ca="1" si="20"/>
        <v>16</v>
      </c>
      <c r="AM59" s="236" t="str">
        <f t="shared" ca="1" si="5"/>
        <v/>
      </c>
      <c r="AQ59" s="286" t="s">
        <v>59</v>
      </c>
      <c r="AR59" s="286" t="s">
        <v>28</v>
      </c>
      <c r="AS59" s="286">
        <v>18</v>
      </c>
      <c r="AT59" s="286" t="s">
        <v>336</v>
      </c>
      <c r="AV59" s="234">
        <f t="shared" si="21"/>
        <v>25</v>
      </c>
      <c r="AW59" s="234">
        <f>COUNTIF( AV$7:AV59, AV59 )</f>
        <v>16</v>
      </c>
      <c r="AX59" s="287">
        <f t="shared" si="22"/>
        <v>26.6</v>
      </c>
      <c r="AY59" s="234">
        <f t="shared" si="23"/>
        <v>40</v>
      </c>
      <c r="AZ59" s="236"/>
      <c r="BA59" s="236"/>
      <c r="BC59" s="234">
        <f t="shared" ca="1" si="24"/>
        <v>53</v>
      </c>
      <c r="BD59" s="288">
        <f t="shared" ca="1" si="7"/>
        <v>46</v>
      </c>
      <c r="BF59" s="240" t="str">
        <f t="shared" ca="1" si="25"/>
        <v>Puget Energy, Inc.</v>
      </c>
      <c r="BG59" s="240" t="str">
        <f t="shared" ca="1" si="9"/>
        <v>BB+</v>
      </c>
      <c r="BH59" s="240">
        <f t="shared" ca="1" si="9"/>
        <v>16</v>
      </c>
      <c r="BI59" s="240" t="str">
        <f t="shared" ca="1" si="9"/>
        <v>**PSD</v>
      </c>
    </row>
    <row r="60" spans="1:61" ht="13.8" x14ac:dyDescent="0.25">
      <c r="A60" s="247" t="s">
        <v>42</v>
      </c>
      <c r="B60" s="248" t="s">
        <v>61</v>
      </c>
      <c r="C60" s="248">
        <v>15</v>
      </c>
      <c r="D60" s="248" t="s">
        <v>320</v>
      </c>
      <c r="E60" s="305" t="str">
        <f t="shared" ca="1" si="0"/>
        <v>R</v>
      </c>
      <c r="F60" s="250"/>
      <c r="G60" s="251">
        <f t="shared" ca="1" si="1"/>
        <v>46</v>
      </c>
      <c r="H60" s="250"/>
      <c r="I60" s="250"/>
      <c r="AF60" s="236">
        <f t="shared" si="2"/>
        <v>0</v>
      </c>
      <c r="AG60" s="236" t="str">
        <f t="shared" ca="1" si="3"/>
        <v/>
      </c>
      <c r="AH60" s="236" t="str">
        <f t="shared" ca="1" si="19"/>
        <v/>
      </c>
      <c r="AJ60" s="236">
        <f t="shared" ca="1" si="4"/>
        <v>61</v>
      </c>
      <c r="AK60" s="236" t="str">
        <f t="shared" ca="1" si="20"/>
        <v>BB</v>
      </c>
      <c r="AL60" s="236">
        <f t="shared" ca="1" si="20"/>
        <v>15</v>
      </c>
      <c r="AM60" s="236" t="str">
        <f t="shared" ca="1" si="5"/>
        <v/>
      </c>
      <c r="AQ60" s="286" t="s">
        <v>26</v>
      </c>
      <c r="AR60" s="286" t="s">
        <v>10</v>
      </c>
      <c r="AS60" s="286">
        <v>20</v>
      </c>
      <c r="AT60" s="286" t="s">
        <v>335</v>
      </c>
      <c r="AV60" s="234">
        <f t="shared" si="21"/>
        <v>3</v>
      </c>
      <c r="AW60" s="234">
        <f>COUNTIF( AV$7:AV60, AV60 )</f>
        <v>8</v>
      </c>
      <c r="AX60" s="287">
        <f t="shared" si="22"/>
        <v>3.8</v>
      </c>
      <c r="AY60" s="234">
        <f t="shared" si="23"/>
        <v>10</v>
      </c>
      <c r="AZ60" s="236"/>
      <c r="BA60" s="236"/>
      <c r="BC60" s="234">
        <f t="shared" ca="1" si="24"/>
        <v>54</v>
      </c>
      <c r="BD60" s="288">
        <f t="shared" ca="1" si="7"/>
        <v>41</v>
      </c>
      <c r="BF60" s="240" t="str">
        <f t="shared" ca="1" si="25"/>
        <v>PNM Resources, Inc.</v>
      </c>
      <c r="BG60" s="240" t="str">
        <f t="shared" ca="1" si="9"/>
        <v>BB</v>
      </c>
      <c r="BH60" s="240">
        <f t="shared" ca="1" si="9"/>
        <v>15</v>
      </c>
      <c r="BI60" s="240" t="str">
        <f t="shared" ca="1" si="9"/>
        <v>PNM</v>
      </c>
    </row>
    <row r="61" spans="1:61" ht="13.8" x14ac:dyDescent="0.25">
      <c r="A61" s="247" t="s">
        <v>248</v>
      </c>
      <c r="B61" s="248" t="s">
        <v>125</v>
      </c>
      <c r="C61" s="248">
        <v>9</v>
      </c>
      <c r="D61" s="248" t="s">
        <v>444</v>
      </c>
      <c r="E61" s="305" t="str">
        <f t="shared" ca="1" si="0"/>
        <v>D</v>
      </c>
      <c r="F61" s="250"/>
      <c r="G61" s="251">
        <f t="shared" ca="1" si="1"/>
        <v>64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9"/>
        <v/>
      </c>
      <c r="AJ61" s="236">
        <f t="shared" ca="1" si="4"/>
        <v>62</v>
      </c>
      <c r="AK61" s="236" t="str">
        <f t="shared" ca="1" si="20"/>
        <v>CCC</v>
      </c>
      <c r="AL61" s="236">
        <f t="shared" ca="1" si="20"/>
        <v>9</v>
      </c>
      <c r="AM61" s="236" t="str">
        <f t="shared" ca="1" si="5"/>
        <v/>
      </c>
      <c r="AQ61" s="286" t="s">
        <v>257</v>
      </c>
      <c r="AR61" s="286" t="s">
        <v>10</v>
      </c>
      <c r="AS61" s="286">
        <v>20</v>
      </c>
      <c r="AT61" s="286" t="s">
        <v>337</v>
      </c>
      <c r="AV61" s="234">
        <f t="shared" si="21"/>
        <v>3</v>
      </c>
      <c r="AW61" s="234">
        <f>COUNTIF( AV$7:AV61, AV61 )</f>
        <v>9</v>
      </c>
      <c r="AX61" s="287">
        <f t="shared" si="22"/>
        <v>3.9</v>
      </c>
      <c r="AY61" s="234">
        <f t="shared" si="23"/>
        <v>11</v>
      </c>
      <c r="AZ61" s="236"/>
      <c r="BA61" s="236"/>
      <c r="BC61" s="234">
        <f t="shared" ca="1" si="24"/>
        <v>55</v>
      </c>
      <c r="BD61" s="288">
        <f t="shared" ca="1" si="7"/>
        <v>18</v>
      </c>
      <c r="BF61" s="240" t="str">
        <f t="shared" ca="1" si="25"/>
        <v>Energy Future Holdings Corp.</v>
      </c>
      <c r="BG61" s="240" t="str">
        <f t="shared" ca="1" si="9"/>
        <v>CCC</v>
      </c>
      <c r="BH61" s="240">
        <f t="shared" ca="1" si="9"/>
        <v>9</v>
      </c>
      <c r="BI61" s="240" t="str">
        <f t="shared" ca="1" si="9"/>
        <v>**EFH</v>
      </c>
    </row>
    <row r="62" spans="1:61" ht="14.4" thickBot="1" x14ac:dyDescent="0.3">
      <c r="A62" s="265"/>
      <c r="B62" s="266"/>
      <c r="C62" s="266"/>
      <c r="D62" s="266"/>
      <c r="E62" s="267"/>
      <c r="F62" s="250"/>
      <c r="G62" s="251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9"/>
        <v/>
      </c>
      <c r="AJ62" s="236" t="e">
        <f t="shared" ca="1" si="4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5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</v>
      </c>
      <c r="AX62" s="287">
        <f t="shared" si="22"/>
        <v>99.1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7"/>
        <v>56</v>
      </c>
      <c r="BF62" s="240">
        <f t="shared" ca="1" si="25"/>
        <v>0</v>
      </c>
      <c r="BG62" s="240">
        <f t="shared" ca="1" si="9"/>
        <v>0</v>
      </c>
      <c r="BH62" s="240">
        <f t="shared" ca="1" si="9"/>
        <v>0</v>
      </c>
      <c r="BI62" s="240">
        <f t="shared" ca="1" si="9"/>
        <v>0</v>
      </c>
    </row>
    <row r="63" spans="1:61" ht="13.8" x14ac:dyDescent="0.25">
      <c r="A63" s="308" t="s">
        <v>473</v>
      </c>
      <c r="B63" s="309" t="s">
        <v>108</v>
      </c>
      <c r="C63" s="309">
        <v>23</v>
      </c>
      <c r="D63" s="309" t="s">
        <v>439</v>
      </c>
      <c r="E63" s="310" t="str">
        <f ca="1">OFFSET( INDIRECT( E$3 &amp; E$4 ), $G63 - 1, 0 )</f>
        <v>MR</v>
      </c>
      <c r="F63" s="311"/>
      <c r="G63" s="312">
        <f t="shared" ca="1" si="1"/>
        <v>34</v>
      </c>
      <c r="H63" s="250"/>
      <c r="I63" s="250"/>
      <c r="AF63" s="236">
        <f t="shared" si="2"/>
        <v>1</v>
      </c>
      <c r="AG63" s="236" t="str">
        <f t="shared" ca="1" si="3"/>
        <v/>
      </c>
      <c r="AH63" s="236" t="str">
        <f t="shared" ca="1" si="19"/>
        <v/>
      </c>
      <c r="AJ63" s="236">
        <f t="shared" ca="1" si="4"/>
        <v>63</v>
      </c>
      <c r="AK63" s="236" t="str">
        <f t="shared" ca="1" si="20"/>
        <v>AA-</v>
      </c>
      <c r="AL63" s="236">
        <f t="shared" ca="1" si="20"/>
        <v>23</v>
      </c>
      <c r="AM63" s="236" t="str">
        <f t="shared" ca="1" si="5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2</v>
      </c>
      <c r="AX63" s="287">
        <f t="shared" si="22"/>
        <v>99.2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ref="BG63" ca="1" si="26">OFFSET( AR$6, $BD63, 0 )</f>
        <v>0</v>
      </c>
      <c r="BH63" s="240">
        <f t="shared" ref="BH63" ca="1" si="27">OFFSET( AS$6, $BD63, 0 )</f>
        <v>0</v>
      </c>
      <c r="BI63" s="240">
        <f t="shared" ref="BI63" ca="1" si="28">OFFSET( AT$6, $BD63, 0 )</f>
        <v>0</v>
      </c>
    </row>
    <row r="64" spans="1:61" ht="13.8" x14ac:dyDescent="0.25">
      <c r="A64" s="303" t="s">
        <v>474</v>
      </c>
      <c r="B64" s="304" t="s">
        <v>2</v>
      </c>
      <c r="C64" s="304">
        <v>21</v>
      </c>
      <c r="D64" s="304" t="s">
        <v>440</v>
      </c>
      <c r="E64" s="305" t="str">
        <f ca="1">OFFSET( INDIRECT( E$3 &amp; E$4 ), $G64 - 1, 0 )</f>
        <v>R</v>
      </c>
      <c r="F64" s="306"/>
      <c r="G64" s="307">
        <f t="shared" ca="1" si="1"/>
        <v>15</v>
      </c>
      <c r="H64" s="250"/>
      <c r="I64" s="250"/>
      <c r="AF64" s="236">
        <f t="shared" si="2"/>
        <v>0</v>
      </c>
      <c r="AG64" s="236" t="str">
        <f t="shared" ca="1" si="3"/>
        <v/>
      </c>
      <c r="AH64" s="236" t="str">
        <f t="shared" ca="1" si="19"/>
        <v/>
      </c>
      <c r="AJ64" s="236">
        <f t="shared" ca="1" si="4"/>
        <v>64</v>
      </c>
      <c r="AK64" s="236" t="str">
        <f t="shared" ca="1" si="20"/>
        <v>A</v>
      </c>
      <c r="AL64" s="236">
        <f t="shared" ca="1" si="20"/>
        <v>21</v>
      </c>
      <c r="AM64" s="236" t="str">
        <f t="shared" ca="1" si="5"/>
        <v/>
      </c>
      <c r="AQ64" s="286"/>
      <c r="AR64" s="286"/>
      <c r="AS64" s="286"/>
      <c r="AT64" s="286"/>
      <c r="AU64" s="286"/>
      <c r="AZ64" s="236"/>
      <c r="BA64" s="236"/>
      <c r="BF64" s="236"/>
    </row>
    <row r="65" spans="1:58" ht="13.8" x14ac:dyDescent="0.25">
      <c r="A65" s="303" t="s">
        <v>475</v>
      </c>
      <c r="B65" s="304" t="s">
        <v>56</v>
      </c>
      <c r="C65" s="304">
        <v>16</v>
      </c>
      <c r="D65" s="304" t="s">
        <v>441</v>
      </c>
      <c r="E65" s="305" t="str">
        <f ca="1">OFFSET( INDIRECT( E$3 &amp; E$4 ), $G65 - 1, 0 )</f>
        <v>R</v>
      </c>
      <c r="F65" s="306"/>
      <c r="G65" s="307">
        <f t="shared" ca="1" si="1"/>
        <v>57</v>
      </c>
      <c r="H65" s="250"/>
      <c r="I65" s="250"/>
      <c r="N65" s="234" t="s">
        <v>73</v>
      </c>
      <c r="AF65" s="236">
        <f t="shared" si="2"/>
        <v>1</v>
      </c>
      <c r="AG65" s="236" t="str">
        <f ca="1">IF( LEN( $C65 ) = 0, "", IF( $C65 &gt; $AL65, 1, "" ) )</f>
        <v/>
      </c>
      <c r="AH65" s="236" t="str">
        <f t="shared" ca="1" si="19"/>
        <v/>
      </c>
      <c r="AJ65" s="236">
        <f t="shared" ca="1" si="4"/>
        <v>65</v>
      </c>
      <c r="AK65" s="236" t="str">
        <f t="shared" ca="1" si="20"/>
        <v>BB+</v>
      </c>
      <c r="AL65" s="236">
        <f t="shared" ca="1" si="20"/>
        <v>16</v>
      </c>
      <c r="AM65" s="236" t="str">
        <f t="shared" ca="1" si="5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303" t="s">
        <v>476</v>
      </c>
      <c r="B66" s="313"/>
      <c r="C66" s="304"/>
      <c r="D66" s="304" t="s">
        <v>447</v>
      </c>
      <c r="E66" s="305" t="str">
        <f ca="1">OFFSET( INDIRECT( E$3 &amp; E$4 ), $G66 - 1, 0 )</f>
        <v>R</v>
      </c>
      <c r="F66" s="306"/>
      <c r="G66" s="307">
        <f t="shared" ca="1" si="1"/>
        <v>56</v>
      </c>
      <c r="H66" s="250"/>
      <c r="I66" s="250"/>
      <c r="AF66" s="236">
        <f t="shared" si="2"/>
        <v>0</v>
      </c>
      <c r="AG66" s="236" t="str">
        <f t="shared" ref="AG66:AG67" si="29">IF( LEN( $C66 ) = 0, "", IF( $C66 &gt; $AL66, 1, "" ) )</f>
        <v/>
      </c>
      <c r="AH66" s="236" t="str">
        <f t="shared" si="19"/>
        <v/>
      </c>
      <c r="AJ66" s="236">
        <f t="shared" ca="1" si="4"/>
        <v>67</v>
      </c>
      <c r="AK66" s="236" t="str">
        <f t="shared" ca="1" si="20"/>
        <v>N.A.</v>
      </c>
      <c r="AL66" s="236">
        <f t="shared" ca="1" si="20"/>
        <v>0</v>
      </c>
      <c r="AM66" s="236" t="str">
        <f t="shared" ca="1" si="5"/>
        <v>Change</v>
      </c>
      <c r="AQ66" s="286" t="s">
        <v>474</v>
      </c>
      <c r="AR66" s="286" t="s">
        <v>2</v>
      </c>
      <c r="AS66" s="286">
        <v>21</v>
      </c>
      <c r="AT66" s="286" t="s">
        <v>440</v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9"/>
        <v/>
      </c>
      <c r="AH67" s="236" t="str">
        <f t="shared" si="19"/>
        <v/>
      </c>
      <c r="AJ67" s="236" t="e">
        <f t="shared" ca="1" si="4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5"/>
        <v/>
      </c>
      <c r="AQ67" s="286" t="s">
        <v>473</v>
      </c>
      <c r="AR67" s="286" t="s">
        <v>108</v>
      </c>
      <c r="AS67" s="286">
        <v>23</v>
      </c>
      <c r="AT67" s="286" t="s">
        <v>439</v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">
        <v>28</v>
      </c>
      <c r="C68" s="276">
        <f>AVERAGE(C7:C65)</f>
        <v>18.293103448275861</v>
      </c>
      <c r="D68" s="276"/>
      <c r="E68" s="276"/>
      <c r="F68" s="250"/>
      <c r="H68" s="250"/>
      <c r="I68" s="250"/>
      <c r="J68" s="253"/>
      <c r="K68" s="253"/>
      <c r="AQ68" s="286" t="s">
        <v>475</v>
      </c>
      <c r="AR68" s="286" t="s">
        <v>56</v>
      </c>
      <c r="AS68" s="286">
        <v>16</v>
      </c>
      <c r="AT68" s="286" t="s">
        <v>441</v>
      </c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Q69" s="286" t="s">
        <v>76</v>
      </c>
      <c r="AR69" s="286" t="s">
        <v>372</v>
      </c>
      <c r="AS69" s="286"/>
      <c r="AT69" s="286" t="s">
        <v>333</v>
      </c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  <c r="AQ70" s="286" t="s">
        <v>50</v>
      </c>
      <c r="AR70" s="286" t="s">
        <v>372</v>
      </c>
      <c r="AS70" s="286"/>
      <c r="AT70" s="286" t="s">
        <v>286</v>
      </c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355</v>
      </c>
      <c r="B73" s="240"/>
      <c r="D73" s="264"/>
      <c r="E73" s="264"/>
      <c r="F73" s="280"/>
      <c r="H73" s="280"/>
      <c r="I73" s="280"/>
    </row>
    <row r="74" spans="1:58" x14ac:dyDescent="0.25">
      <c r="A74" s="281" t="s">
        <v>356</v>
      </c>
      <c r="B74" s="240"/>
      <c r="D74" s="264"/>
      <c r="E74" s="264"/>
      <c r="F74" s="280"/>
      <c r="H74" s="280"/>
      <c r="I74" s="280"/>
    </row>
    <row r="75" spans="1:58" x14ac:dyDescent="0.25">
      <c r="A75" s="281" t="s">
        <v>469</v>
      </c>
      <c r="D75" s="280"/>
      <c r="E75" s="234"/>
      <c r="F75" s="282"/>
      <c r="H75" s="282"/>
      <c r="I75" s="282"/>
    </row>
    <row r="76" spans="1:58" x14ac:dyDescent="0.25">
      <c r="A76" s="279" t="s">
        <v>358</v>
      </c>
      <c r="D76" s="280"/>
      <c r="E76" s="234"/>
      <c r="F76" s="282"/>
      <c r="H76" s="282"/>
      <c r="I76" s="282"/>
      <c r="AQ76" s="286"/>
      <c r="AR76" s="286"/>
      <c r="AS76" s="286"/>
    </row>
    <row r="77" spans="1:58" x14ac:dyDescent="0.25">
      <c r="A77" s="279"/>
      <c r="D77" s="280"/>
      <c r="E77" s="234"/>
      <c r="F77" s="282"/>
      <c r="H77" s="282"/>
      <c r="I77" s="282"/>
      <c r="AQ77" s="286"/>
      <c r="AR77" s="286"/>
      <c r="AS77" s="286"/>
    </row>
    <row r="78" spans="1:58" x14ac:dyDescent="0.25">
      <c r="A78" s="279"/>
      <c r="AQ78" s="286"/>
      <c r="AR78" s="286"/>
      <c r="AS78" s="286"/>
    </row>
    <row r="79" spans="1:58" x14ac:dyDescent="0.25">
      <c r="C79" s="339">
        <f>SUMPRODUCT( L8:L13, Y8:Y13 ) / L14</f>
        <v>18.379310344827587</v>
      </c>
      <c r="E79" s="283"/>
      <c r="G79" s="251"/>
      <c r="J79" s="240"/>
      <c r="K79" s="240"/>
      <c r="AQ79" s="286"/>
      <c r="AR79" s="286"/>
      <c r="AS79" s="286"/>
    </row>
    <row r="80" spans="1:58" s="240" customFormat="1" ht="13.8" x14ac:dyDescent="0.25">
      <c r="A80" s="284"/>
      <c r="B80" s="285"/>
      <c r="C80" s="285"/>
      <c r="D80" s="285"/>
      <c r="E80" s="249"/>
      <c r="F80" s="234"/>
      <c r="G80" s="236"/>
      <c r="H80" s="234"/>
      <c r="I80" s="234"/>
      <c r="Q80" s="234"/>
      <c r="T80" s="236"/>
      <c r="U80" s="236"/>
      <c r="V80" s="236"/>
      <c r="AF80" s="236"/>
      <c r="AG80" s="236"/>
      <c r="AH80" s="236"/>
      <c r="AJ80" s="236"/>
      <c r="AK80" s="236"/>
      <c r="AL80" s="236"/>
      <c r="AM80" s="236"/>
      <c r="AN80" s="236"/>
      <c r="AQ80" s="286"/>
      <c r="AR80" s="286"/>
      <c r="AS80" s="286"/>
    </row>
    <row r="81" spans="43:45" x14ac:dyDescent="0.25">
      <c r="AQ81" s="286"/>
      <c r="AR81" s="286"/>
      <c r="AS81" s="286"/>
    </row>
    <row r="82" spans="43:45" x14ac:dyDescent="0.25">
      <c r="AQ82" s="286"/>
      <c r="AR82" s="286"/>
      <c r="AS82" s="286"/>
    </row>
  </sheetData>
  <sortState xmlns:xlrd2="http://schemas.microsoft.com/office/spreadsheetml/2017/richdata2"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17">
    <tabColor rgb="FF002060"/>
    <pageSetUpPr fitToPage="1"/>
  </sheetPr>
  <dimension ref="A1:AG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customWidth="1" outlineLevel="1"/>
    <col min="5" max="5" width="12.5546875" style="4" customWidth="1" outlineLevel="1"/>
    <col min="6" max="6" width="9.109375" style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customWidth="1" outlineLevel="1"/>
    <col min="27" max="27" width="12.5546875" style="107" customWidth="1" outlineLevel="1"/>
    <col min="28" max="33" width="9.109375" style="1" customWidth="1" outlineLevel="1"/>
    <col min="34" max="16384" width="9.109375" style="1"/>
  </cols>
  <sheetData>
    <row r="1" spans="1:33" ht="18" x14ac:dyDescent="0.35">
      <c r="A1" s="75" t="s">
        <v>387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388</v>
      </c>
      <c r="C6" s="152"/>
      <c r="D6" s="152"/>
      <c r="E6" s="153">
        <v>40543</v>
      </c>
      <c r="W6" s="150" t="s">
        <v>0</v>
      </c>
      <c r="X6" s="151" t="s">
        <v>388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14.351351351351351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22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21</v>
      </c>
      <c r="D8" s="80" t="s">
        <v>327</v>
      </c>
      <c r="E8" s="101">
        <f t="shared" ref="E8:E13" si="0">VLOOKUP($D8,$Q$7:$R$68,2,0)</f>
        <v>0.92936836749527552</v>
      </c>
      <c r="F8" s="65"/>
      <c r="G8" s="72" t="s">
        <v>138</v>
      </c>
      <c r="H8" s="86">
        <f>COUNTIF(C$7:C$67,"&gt;20")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20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COUNTIF(C$7:C$67,"=20")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20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COUNTIF(C$7:C$67,"=19")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32</v>
      </c>
      <c r="B11" s="82" t="s">
        <v>10</v>
      </c>
      <c r="C11" s="82">
        <v>20</v>
      </c>
      <c r="D11" s="82" t="s">
        <v>289</v>
      </c>
      <c r="E11" s="102">
        <f t="shared" si="0"/>
        <v>0.76510407852428497</v>
      </c>
      <c r="F11" s="65"/>
      <c r="G11" s="72" t="s">
        <v>28</v>
      </c>
      <c r="H11" s="86">
        <f>COUNTIF(C$7:C$67,"=18")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451</v>
      </c>
      <c r="B12" s="82" t="s">
        <v>10</v>
      </c>
      <c r="C12" s="82">
        <v>20</v>
      </c>
      <c r="D12" s="82" t="s">
        <v>443</v>
      </c>
      <c r="E12" s="102">
        <f t="shared" si="0"/>
        <v>0.96341849943457658</v>
      </c>
      <c r="F12" s="65"/>
      <c r="G12" s="72" t="s">
        <v>49</v>
      </c>
      <c r="H12" s="86">
        <f>COUNTIF(C$7:C$67,"=17")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369</v>
      </c>
      <c r="B13" s="82" t="s">
        <v>10</v>
      </c>
      <c r="C13" s="82">
        <v>20</v>
      </c>
      <c r="D13" s="82" t="s">
        <v>368</v>
      </c>
      <c r="E13" s="102">
        <f t="shared" si="0"/>
        <v>0.541533003736272</v>
      </c>
      <c r="F13" s="65"/>
      <c r="G13" s="93" t="s">
        <v>79</v>
      </c>
      <c r="H13" s="94">
        <f>COUNTIF(C$7:C$67,"&lt;17")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14</v>
      </c>
      <c r="B14" s="82" t="s">
        <v>10</v>
      </c>
      <c r="C14" s="82">
        <v>20</v>
      </c>
      <c r="D14" s="82" t="s">
        <v>334</v>
      </c>
      <c r="E14" s="102">
        <f t="shared" ref="E14:E45" si="3">VLOOKUP($D14,$Q$7:$R$68,2,0)</f>
        <v>0.975461842272901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26</v>
      </c>
      <c r="B15" s="82" t="s">
        <v>10</v>
      </c>
      <c r="C15" s="82">
        <v>20</v>
      </c>
      <c r="D15" s="82" t="s">
        <v>335</v>
      </c>
      <c r="E15" s="102">
        <f t="shared" si="3"/>
        <v>0.91865112788863534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20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34</v>
      </c>
      <c r="X16" s="110" t="s">
        <v>28</v>
      </c>
      <c r="Y16" s="110">
        <v>14</v>
      </c>
      <c r="Z16" s="110" t="s">
        <v>293</v>
      </c>
      <c r="AA16" s="111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19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24</v>
      </c>
      <c r="X17" s="110" t="s">
        <v>28</v>
      </c>
      <c r="Y17" s="110">
        <v>14</v>
      </c>
      <c r="Z17" s="110" t="s">
        <v>323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19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59</v>
      </c>
      <c r="X18" s="110" t="s">
        <v>28</v>
      </c>
      <c r="Y18" s="110">
        <v>14</v>
      </c>
      <c r="Z18" s="110" t="s">
        <v>336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171" t="s">
        <v>29</v>
      </c>
      <c r="B19" s="172" t="s">
        <v>16</v>
      </c>
      <c r="C19" s="172">
        <v>19</v>
      </c>
      <c r="D19" s="172" t="s">
        <v>285</v>
      </c>
      <c r="E19" s="173">
        <f t="shared" si="3"/>
        <v>0.71562826313957539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64</v>
      </c>
      <c r="X19" s="110" t="s">
        <v>49</v>
      </c>
      <c r="Y19" s="110">
        <v>13</v>
      </c>
      <c r="Z19" s="110" t="s">
        <v>287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19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19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28</v>
      </c>
      <c r="Y21" s="110">
        <v>14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19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19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19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19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19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19</v>
      </c>
      <c r="D27" s="80" t="s">
        <v>319</v>
      </c>
      <c r="E27" s="101">
        <f t="shared" si="3"/>
        <v>0.85816623707026407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19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19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62</v>
      </c>
      <c r="B30" s="80" t="s">
        <v>16</v>
      </c>
      <c r="C30" s="80">
        <v>19</v>
      </c>
      <c r="D30" s="110" t="s">
        <v>329</v>
      </c>
      <c r="E30" s="111">
        <f t="shared" si="3"/>
        <v>0.93843994106691131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18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1" t="s">
        <v>55</v>
      </c>
      <c r="B32" s="82" t="s">
        <v>28</v>
      </c>
      <c r="C32" s="82">
        <v>18</v>
      </c>
      <c r="D32" s="82" t="s">
        <v>277</v>
      </c>
      <c r="E32" s="102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30</v>
      </c>
      <c r="B33" s="82" t="s">
        <v>28</v>
      </c>
      <c r="C33" s="82">
        <v>18</v>
      </c>
      <c r="D33" s="82" t="s">
        <v>284</v>
      </c>
      <c r="E33" s="102">
        <f t="shared" si="3"/>
        <v>0.91199977892108686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34</v>
      </c>
      <c r="B34" s="82" t="s">
        <v>28</v>
      </c>
      <c r="C34" s="82">
        <v>18</v>
      </c>
      <c r="D34" s="82" t="s">
        <v>293</v>
      </c>
      <c r="E34" s="102">
        <f t="shared" si="3"/>
        <v>1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36</v>
      </c>
      <c r="B35" s="82" t="s">
        <v>28</v>
      </c>
      <c r="C35" s="82">
        <v>18</v>
      </c>
      <c r="D35" s="82" t="s">
        <v>296</v>
      </c>
      <c r="E35" s="102">
        <f t="shared" si="3"/>
        <v>0.80341264723043471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11</v>
      </c>
      <c r="B36" s="82" t="s">
        <v>28</v>
      </c>
      <c r="C36" s="82">
        <v>18</v>
      </c>
      <c r="D36" s="82" t="s">
        <v>297</v>
      </c>
      <c r="E36" s="102">
        <f t="shared" si="3"/>
        <v>0.58646630934150079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260</v>
      </c>
      <c r="B37" s="82" t="s">
        <v>28</v>
      </c>
      <c r="C37" s="82">
        <v>18</v>
      </c>
      <c r="D37" s="82" t="s">
        <v>300</v>
      </c>
      <c r="E37" s="102">
        <f t="shared" si="3"/>
        <v>1.0379329114785329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20</v>
      </c>
      <c r="B38" s="82" t="s">
        <v>28</v>
      </c>
      <c r="C38" s="82">
        <v>18</v>
      </c>
      <c r="D38" s="82" t="s">
        <v>302</v>
      </c>
      <c r="E38" s="102">
        <f t="shared" si="3"/>
        <v>0.97697589100213744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66</v>
      </c>
      <c r="B39" s="82" t="s">
        <v>28</v>
      </c>
      <c r="C39" s="82">
        <v>18</v>
      </c>
      <c r="D39" s="82" t="s">
        <v>314</v>
      </c>
      <c r="E39" s="102">
        <f t="shared" si="3"/>
        <v>0.99569209153466032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168" t="s">
        <v>53</v>
      </c>
      <c r="B40" s="169" t="s">
        <v>28</v>
      </c>
      <c r="C40" s="169">
        <v>18</v>
      </c>
      <c r="D40" s="169" t="s">
        <v>317</v>
      </c>
      <c r="E40" s="170">
        <f t="shared" si="3"/>
        <v>0.99967409016838671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41</v>
      </c>
      <c r="B41" s="82" t="s">
        <v>28</v>
      </c>
      <c r="C41" s="82">
        <v>18</v>
      </c>
      <c r="D41" s="82" t="s">
        <v>321</v>
      </c>
      <c r="E41" s="102">
        <f t="shared" si="3"/>
        <v>0.99126425624848336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24</v>
      </c>
      <c r="B42" s="82" t="s">
        <v>28</v>
      </c>
      <c r="C42" s="82">
        <v>18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43</v>
      </c>
      <c r="B43" s="82" t="s">
        <v>28</v>
      </c>
      <c r="C43" s="82">
        <v>18</v>
      </c>
      <c r="D43" s="82" t="s">
        <v>324</v>
      </c>
      <c r="E43" s="102">
        <f>VLOOKUP($D43,$Q$7:$R$68,2,0)</f>
        <v>0.61841824770837783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45</v>
      </c>
      <c r="B44" s="82" t="s">
        <v>28</v>
      </c>
      <c r="C44" s="82">
        <v>18</v>
      </c>
      <c r="D44" s="82" t="s">
        <v>318</v>
      </c>
      <c r="E44" s="102">
        <f t="shared" si="3"/>
        <v>0.5641445718679996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18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18</v>
      </c>
      <c r="D46" s="82" t="s">
        <v>336</v>
      </c>
      <c r="E46" s="102">
        <f t="shared" ref="E46:E67" si="6">VLOOKUP($D46,$Q$7:$R$68,2,0)</f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79" t="s">
        <v>9</v>
      </c>
      <c r="B47" s="80" t="s">
        <v>49</v>
      </c>
      <c r="C47" s="80">
        <v>17</v>
      </c>
      <c r="D47" s="80" t="s">
        <v>273</v>
      </c>
      <c r="E47" s="101">
        <f t="shared" si="6"/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17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17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17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168" t="s">
        <v>64</v>
      </c>
      <c r="B51" s="169" t="s">
        <v>49</v>
      </c>
      <c r="C51" s="169">
        <v>17</v>
      </c>
      <c r="D51" s="169" t="s">
        <v>287</v>
      </c>
      <c r="E51" s="170">
        <f t="shared" si="6"/>
        <v>1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17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17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17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17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17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17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17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265</v>
      </c>
      <c r="B59" s="82" t="s">
        <v>56</v>
      </c>
      <c r="C59" s="82">
        <v>16</v>
      </c>
      <c r="D59" s="82" t="s">
        <v>313</v>
      </c>
      <c r="E59" s="102">
        <f t="shared" si="6"/>
        <v>0.99533285779852521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16</v>
      </c>
      <c r="Y59" s="110">
        <v>15</v>
      </c>
      <c r="Z59" s="110" t="s">
        <v>285</v>
      </c>
      <c r="AA59" s="111">
        <v>0.71562826313957539</v>
      </c>
    </row>
    <row r="60" spans="1:27" ht="13.8" x14ac:dyDescent="0.3">
      <c r="A60" s="81" t="s">
        <v>54</v>
      </c>
      <c r="B60" s="82" t="s">
        <v>56</v>
      </c>
      <c r="C60" s="82">
        <v>16</v>
      </c>
      <c r="D60" s="82" t="s">
        <v>325</v>
      </c>
      <c r="E60" s="102">
        <f t="shared" si="6"/>
        <v>0.99461817608484948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3" t="s">
        <v>42</v>
      </c>
      <c r="B61" s="110" t="s">
        <v>61</v>
      </c>
      <c r="C61" s="110">
        <v>15</v>
      </c>
      <c r="D61" s="110" t="s">
        <v>320</v>
      </c>
      <c r="E61" s="111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9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473</v>
      </c>
      <c r="B63" s="80" t="s">
        <v>108</v>
      </c>
      <c r="C63" s="80">
        <v>23</v>
      </c>
      <c r="D63" s="80" t="s">
        <v>439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474</v>
      </c>
      <c r="B64" s="80" t="s">
        <v>2</v>
      </c>
      <c r="C64" s="80">
        <v>21</v>
      </c>
      <c r="D64" s="80" t="s">
        <v>440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475</v>
      </c>
      <c r="B65" s="82" t="s">
        <v>56</v>
      </c>
      <c r="C65" s="82">
        <v>16</v>
      </c>
      <c r="D65" s="82" t="s">
        <v>441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28</v>
      </c>
      <c r="Y66" s="110">
        <v>14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18.160714285714285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81" s="1"/>
      <c r="B81" s="1"/>
      <c r="C81" s="4"/>
      <c r="D81" s="4"/>
      <c r="E81" s="121"/>
      <c r="F81" s="1"/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9">
    <tabColor rgb="FF92D050"/>
    <pageSetUpPr fitToPage="1"/>
  </sheetPr>
  <dimension ref="C1:CD40"/>
  <sheetViews>
    <sheetView showGridLines="0" zoomScale="90" zoomScaleNormal="90" workbookViewId="0"/>
  </sheetViews>
  <sheetFormatPr defaultColWidth="9.109375" defaultRowHeight="13.8" outlineLevelCol="2" x14ac:dyDescent="0.25"/>
  <cols>
    <col min="1" max="2" width="2.88671875" style="258" customWidth="1"/>
    <col min="3" max="3" width="2.6640625" style="258" customWidth="1"/>
    <col min="4" max="4" width="24.6640625" style="258" customWidth="1"/>
    <col min="5" max="5" width="6.6640625" style="258" hidden="1" customWidth="1" outlineLevel="1"/>
    <col min="6" max="6" width="5.88671875" style="258" hidden="1" customWidth="1" outlineLevel="1"/>
    <col min="7" max="7" width="4.5546875" style="258" hidden="1" customWidth="1" outlineLevel="1"/>
    <col min="8" max="8" width="6.6640625" style="258" hidden="1" customWidth="1" outlineLevel="1"/>
    <col min="9" max="9" width="5.88671875" style="258" hidden="1" customWidth="1" outlineLevel="1"/>
    <col min="10" max="10" width="4.5546875" style="258" hidden="1" customWidth="1" outlineLevel="1"/>
    <col min="11" max="11" width="6.6640625" style="258" hidden="1" customWidth="1" outlineLevel="1"/>
    <col min="12" max="12" width="5.88671875" style="258" hidden="1" customWidth="1" outlineLevel="1"/>
    <col min="13" max="13" width="4.5546875" style="258" hidden="1" customWidth="1" outlineLevel="1"/>
    <col min="14" max="14" width="6.6640625" style="258" hidden="1" customWidth="1" outlineLevel="1"/>
    <col min="15" max="15" width="5.88671875" style="258" hidden="1" customWidth="1" outlineLevel="1"/>
    <col min="16" max="16" width="4.5546875" style="258" hidden="1" customWidth="1" outlineLevel="1"/>
    <col min="17" max="17" width="6.6640625" style="258" hidden="1" customWidth="1" outlineLevel="1"/>
    <col min="18" max="18" width="5.88671875" style="258" hidden="1" customWidth="1" outlineLevel="1"/>
    <col min="19" max="19" width="4.5546875" style="258" hidden="1" customWidth="1" outlineLevel="1"/>
    <col min="20" max="20" width="6.6640625" style="258" hidden="1" customWidth="1" outlineLevel="1"/>
    <col min="21" max="21" width="5.88671875" style="258" hidden="1" customWidth="1" outlineLevel="1"/>
    <col min="22" max="22" width="4.5546875" style="258" hidden="1" customWidth="1" outlineLevel="1"/>
    <col min="23" max="23" width="6.6640625" style="258" hidden="1" customWidth="1" outlineLevel="1"/>
    <col min="24" max="24" width="5.88671875" style="258" hidden="1" customWidth="1" outlineLevel="1"/>
    <col min="25" max="25" width="4.5546875" style="258" hidden="1" customWidth="1" outlineLevel="1"/>
    <col min="26" max="26" width="6.6640625" style="258" hidden="1" customWidth="1" outlineLevel="1"/>
    <col min="27" max="27" width="5.88671875" style="258" hidden="1" customWidth="1" outlineLevel="1"/>
    <col min="28" max="28" width="4.5546875" style="258" hidden="1" customWidth="1" outlineLevel="1"/>
    <col min="29" max="29" width="6.6640625" style="258" hidden="1" customWidth="1" outlineLevel="1"/>
    <col min="30" max="30" width="5.88671875" style="258" hidden="1" customWidth="1" outlineLevel="1"/>
    <col min="31" max="31" width="4.5546875" style="258" hidden="1" customWidth="1" outlineLevel="1"/>
    <col min="32" max="32" width="6.6640625" style="258" hidden="1" customWidth="1" outlineLevel="1"/>
    <col min="33" max="33" width="5.88671875" style="258" hidden="1" customWidth="1" outlineLevel="1"/>
    <col min="34" max="34" width="4.5546875" style="258" hidden="1" customWidth="1" outlineLevel="1"/>
    <col min="35" max="35" width="6.6640625" style="258" hidden="1" customWidth="1" outlineLevel="1"/>
    <col min="36" max="36" width="5.88671875" style="258" hidden="1" customWidth="1" outlineLevel="1"/>
    <col min="37" max="37" width="4.5546875" style="258" hidden="1" customWidth="1" outlineLevel="1"/>
    <col min="38" max="38" width="6.6640625" style="258" customWidth="1" collapsed="1"/>
    <col min="39" max="39" width="5.88671875" style="258" customWidth="1"/>
    <col min="40" max="40" width="4.5546875" style="258" customWidth="1"/>
    <col min="41" max="41" width="6.6640625" style="258" customWidth="1"/>
    <col min="42" max="42" width="5.88671875" style="258" customWidth="1"/>
    <col min="43" max="43" width="4.5546875" style="258" customWidth="1"/>
    <col min="44" max="44" width="6.6640625" style="258" customWidth="1"/>
    <col min="45" max="45" width="5.88671875" style="258" customWidth="1"/>
    <col min="46" max="46" width="4.5546875" style="258" customWidth="1"/>
    <col min="47" max="47" width="6.6640625" style="258" customWidth="1"/>
    <col min="48" max="48" width="5.88671875" style="258" customWidth="1"/>
    <col min="49" max="49" width="4.5546875" style="258" customWidth="1"/>
    <col min="50" max="50" width="6.6640625" style="258" customWidth="1"/>
    <col min="51" max="51" width="5.88671875" style="258" customWidth="1"/>
    <col min="52" max="52" width="4.5546875" style="258" customWidth="1"/>
    <col min="53" max="53" width="6.6640625" style="258" customWidth="1"/>
    <col min="54" max="54" width="5.88671875" style="258" customWidth="1"/>
    <col min="55" max="55" width="4.5546875" style="258" customWidth="1"/>
    <col min="56" max="56" width="6.6640625" style="258" customWidth="1"/>
    <col min="57" max="57" width="5.88671875" style="258" customWidth="1"/>
    <col min="58" max="58" width="4.5546875" style="258" customWidth="1"/>
    <col min="59" max="59" width="6.6640625" style="258" customWidth="1"/>
    <col min="60" max="60" width="5.88671875" style="258" customWidth="1"/>
    <col min="61" max="61" width="4.5546875" style="258" customWidth="1"/>
    <col min="62" max="62" width="3.5546875" style="258" hidden="1" customWidth="1" outlineLevel="1"/>
    <col min="63" max="63" width="3.88671875" style="258" hidden="1" customWidth="1" outlineLevel="2"/>
    <col min="64" max="64" width="6.44140625" style="255" hidden="1" customWidth="1" outlineLevel="2"/>
    <col min="65" max="65" width="16.6640625" style="258" hidden="1" customWidth="1" outlineLevel="2"/>
    <col min="66" max="66" width="6.5546875" style="258" hidden="1" customWidth="1" outlineLevel="2"/>
    <col min="67" max="67" width="16.6640625" style="258" hidden="1" customWidth="1" outlineLevel="2"/>
    <col min="68" max="68" width="6.5546875" style="258" hidden="1" customWidth="1" outlineLevel="2"/>
    <col min="69" max="69" width="16.6640625" style="258" hidden="1" customWidth="1" outlineLevel="2"/>
    <col min="70" max="70" width="6.5546875" style="258" hidden="1" customWidth="1" outlineLevel="2"/>
    <col min="71" max="71" width="16.6640625" style="258" hidden="1" customWidth="1" outlineLevel="2"/>
    <col min="72" max="72" width="6.5546875" style="258" hidden="1" customWidth="1" outlineLevel="2"/>
    <col min="73" max="73" width="16.6640625" style="258" hidden="1" customWidth="1" outlineLevel="2"/>
    <col min="74" max="74" width="6.5546875" style="258" hidden="1" customWidth="1" outlineLevel="2"/>
    <col min="75" max="75" width="16.6640625" style="258" hidden="1" customWidth="1" outlineLevel="2"/>
    <col min="76" max="76" width="6.5546875" style="258" hidden="1" customWidth="1" outlineLevel="2"/>
    <col min="77" max="77" width="16.6640625" style="258" hidden="1" customWidth="1" outlineLevel="2"/>
    <col min="78" max="78" width="6.5546875" style="258" hidden="1" customWidth="1" outlineLevel="2"/>
    <col min="79" max="79" width="16.6640625" style="258" hidden="1" customWidth="1" outlineLevel="2"/>
    <col min="80" max="80" width="6.5546875" style="258" hidden="1" customWidth="1" outlineLevel="1" collapsed="1"/>
    <col min="81" max="81" width="16.6640625" style="258" hidden="1" customWidth="1" outlineLevel="1"/>
    <col min="82" max="82" width="9.109375" style="258" collapsed="1"/>
    <col min="83" max="16384" width="9.109375" style="258"/>
  </cols>
  <sheetData>
    <row r="1" spans="3:81" ht="18" x14ac:dyDescent="0.25">
      <c r="C1" s="233"/>
      <c r="D1" s="233" t="s">
        <v>339</v>
      </c>
    </row>
    <row r="4" spans="3:81" x14ac:dyDescent="0.25">
      <c r="C4" s="340"/>
      <c r="D4" s="340"/>
      <c r="E4" s="341"/>
      <c r="F4" s="341"/>
      <c r="G4" s="341"/>
      <c r="H4" s="341"/>
      <c r="I4" s="341"/>
      <c r="J4" s="341"/>
      <c r="K4" s="341"/>
    </row>
    <row r="5" spans="3:81" ht="20.100000000000001" customHeight="1" x14ac:dyDescent="0.25">
      <c r="C5" s="498" t="s">
        <v>142</v>
      </c>
      <c r="D5" s="499"/>
      <c r="E5" s="499"/>
      <c r="F5" s="499"/>
      <c r="G5" s="499"/>
      <c r="H5" s="499"/>
      <c r="I5" s="499"/>
      <c r="J5" s="499"/>
      <c r="K5" s="499"/>
      <c r="L5" s="499"/>
      <c r="M5" s="499"/>
      <c r="N5" s="499"/>
      <c r="O5" s="499"/>
      <c r="P5" s="499"/>
      <c r="Q5" s="499"/>
      <c r="R5" s="499"/>
      <c r="S5" s="342"/>
      <c r="T5" s="342"/>
      <c r="U5" s="342"/>
      <c r="V5" s="342"/>
      <c r="W5" s="343"/>
      <c r="X5" s="343"/>
      <c r="Y5" s="342"/>
      <c r="Z5" s="343"/>
      <c r="AA5" s="343"/>
      <c r="AB5" s="343"/>
      <c r="AC5" s="343"/>
      <c r="AD5" s="343"/>
      <c r="AE5" s="343"/>
      <c r="AF5" s="343"/>
      <c r="AG5" s="343"/>
      <c r="AH5" s="343"/>
      <c r="AI5" s="343"/>
      <c r="AJ5" s="343"/>
      <c r="AK5" s="343"/>
      <c r="AL5" s="343"/>
      <c r="AM5" s="343"/>
      <c r="AN5" s="343"/>
      <c r="AO5" s="343"/>
      <c r="AP5" s="343"/>
      <c r="AQ5" s="343"/>
      <c r="AR5" s="343"/>
      <c r="AS5" s="343"/>
      <c r="AT5" s="343"/>
      <c r="AU5" s="343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4"/>
      <c r="BH5" s="344"/>
      <c r="BM5" s="347" t="s">
        <v>487</v>
      </c>
      <c r="BN5" s="347"/>
      <c r="BO5" s="347" t="s">
        <v>494</v>
      </c>
      <c r="BP5" s="347"/>
      <c r="BQ5" s="347" t="s">
        <v>509</v>
      </c>
      <c r="BR5" s="347"/>
      <c r="BS5" s="347" t="s">
        <v>528</v>
      </c>
      <c r="BT5" s="347"/>
      <c r="BU5" s="347" t="s">
        <v>545</v>
      </c>
      <c r="BV5" s="347"/>
      <c r="BW5" s="347" t="s">
        <v>563</v>
      </c>
      <c r="BX5" s="347"/>
      <c r="BY5" s="347" t="s">
        <v>575</v>
      </c>
      <c r="BZ5" s="347"/>
      <c r="CA5" s="347" t="s">
        <v>597</v>
      </c>
      <c r="CB5" s="347"/>
      <c r="CC5" s="347" t="s">
        <v>596</v>
      </c>
    </row>
    <row r="6" spans="3:81" x14ac:dyDescent="0.25">
      <c r="BG6" s="345"/>
      <c r="BH6" s="345"/>
    </row>
    <row r="7" spans="3:81" s="279" customFormat="1" x14ac:dyDescent="0.25">
      <c r="E7" s="495">
        <v>37621</v>
      </c>
      <c r="F7" s="496"/>
      <c r="G7" s="404"/>
      <c r="H7" s="495">
        <v>37986</v>
      </c>
      <c r="I7" s="496"/>
      <c r="J7" s="365"/>
      <c r="K7" s="495">
        <v>38352</v>
      </c>
      <c r="L7" s="496"/>
      <c r="M7" s="404"/>
      <c r="N7" s="495">
        <v>38717</v>
      </c>
      <c r="O7" s="496"/>
      <c r="P7" s="260"/>
      <c r="Q7" s="495">
        <v>39082</v>
      </c>
      <c r="R7" s="496"/>
      <c r="S7" s="260"/>
      <c r="T7" s="495" t="s">
        <v>349</v>
      </c>
      <c r="U7" s="496"/>
      <c r="V7" s="260"/>
      <c r="W7" s="495" t="s">
        <v>344</v>
      </c>
      <c r="X7" s="496"/>
      <c r="Y7" s="260"/>
      <c r="Z7" s="495">
        <v>40178</v>
      </c>
      <c r="AA7" s="496"/>
      <c r="AB7" s="260"/>
      <c r="AC7" s="495">
        <v>40543</v>
      </c>
      <c r="AD7" s="496"/>
      <c r="AE7" s="260"/>
      <c r="AF7" s="495">
        <v>40908</v>
      </c>
      <c r="AG7" s="496"/>
      <c r="AH7" s="260"/>
      <c r="AI7" s="495">
        <v>41274</v>
      </c>
      <c r="AJ7" s="496"/>
      <c r="AK7" s="260"/>
      <c r="AL7" s="495" t="str">
        <f ca="1">INDIRECT( BO7 )</f>
        <v>2013 Q4</v>
      </c>
      <c r="AM7" s="496"/>
      <c r="AN7" s="433"/>
      <c r="AO7" s="495" t="str">
        <f ca="1">INDIRECT( BQ7 )</f>
        <v>2014 Q4</v>
      </c>
      <c r="AP7" s="496"/>
      <c r="AQ7" s="446"/>
      <c r="AR7" s="495" t="str">
        <f ca="1">INDIRECT( BS7 )</f>
        <v>2015 Q4</v>
      </c>
      <c r="AS7" s="496"/>
      <c r="AT7" s="455"/>
      <c r="AU7" s="495" t="str">
        <f ca="1">INDIRECT( BU7 )</f>
        <v>2016 Q4</v>
      </c>
      <c r="AV7" s="496"/>
      <c r="AW7" s="481"/>
      <c r="AX7" s="495" t="str">
        <f ca="1">INDIRECT( BW7 )</f>
        <v>2017 Q4</v>
      </c>
      <c r="AY7" s="496"/>
      <c r="AZ7" s="481"/>
      <c r="BA7" s="495" t="str">
        <f ca="1">INDIRECT( BY7 )</f>
        <v>2018 Q4</v>
      </c>
      <c r="BB7" s="496"/>
      <c r="BC7" s="485"/>
      <c r="BD7" s="495" t="str">
        <f ca="1">INDIRECT( CA7 )</f>
        <v>2019 Q4</v>
      </c>
      <c r="BE7" s="496"/>
      <c r="BF7" s="490"/>
      <c r="BG7" s="497" t="str">
        <f ca="1">INDIRECT( CC7 )</f>
        <v>2020 Q1</v>
      </c>
      <c r="BH7" s="497"/>
      <c r="BL7" s="353" t="s">
        <v>491</v>
      </c>
      <c r="BM7" s="258" t="str">
        <f ca="1">BM$5 &amp; "!" &amp;$BL7</f>
        <v>'Credit_2012Q4'!b6</v>
      </c>
      <c r="BO7" s="258" t="str">
        <f ca="1">BO$5 &amp; "!" &amp;$BL7</f>
        <v>'Credit_2013Q4'!b6</v>
      </c>
      <c r="BQ7" s="258" t="str">
        <f ca="1">BQ$5 &amp; "!" &amp;$BL7</f>
        <v>'Credit_2014Q4'!b6</v>
      </c>
      <c r="BS7" s="258" t="str">
        <f ca="1">BS$5 &amp; "!" &amp;$BL7</f>
        <v>'Credit_2015Q4'!b6</v>
      </c>
      <c r="BU7" s="258" t="str">
        <f ca="1">BU$5 &amp; "!" &amp;$BL7</f>
        <v>'Credit_2016Q4'!b6</v>
      </c>
      <c r="BW7" s="258" t="str">
        <f ca="1">BW$5 &amp; "!" &amp;$BL7</f>
        <v>'Credit_2017Q4'!b6</v>
      </c>
      <c r="BY7" s="258" t="str">
        <f ca="1">BY$5 &amp; "!" &amp;$BL7</f>
        <v>'Credit_2018Q4'!b6</v>
      </c>
      <c r="CA7" s="258" t="str">
        <f ca="1">CA$5 &amp; "!" &amp;$BL7</f>
        <v>'Credit_2019Q4'!b6</v>
      </c>
      <c r="CC7" s="258" t="str">
        <f ca="1">CC$5 &amp; "!" &amp;$BL7</f>
        <v>'Credit_2020Q1'!b6</v>
      </c>
    </row>
    <row r="8" spans="3:81" s="279" customFormat="1" x14ac:dyDescent="0.25">
      <c r="E8" s="255" t="s">
        <v>81</v>
      </c>
      <c r="F8" s="367" t="s">
        <v>82</v>
      </c>
      <c r="G8" s="255"/>
      <c r="H8" s="255" t="s">
        <v>81</v>
      </c>
      <c r="I8" s="367" t="s">
        <v>82</v>
      </c>
      <c r="J8" s="255"/>
      <c r="K8" s="255" t="s">
        <v>81</v>
      </c>
      <c r="L8" s="367" t="s">
        <v>82</v>
      </c>
      <c r="M8" s="255"/>
      <c r="N8" s="255" t="s">
        <v>81</v>
      </c>
      <c r="O8" s="367" t="s">
        <v>82</v>
      </c>
      <c r="P8" s="367"/>
      <c r="Q8" s="255" t="s">
        <v>81</v>
      </c>
      <c r="R8" s="255" t="s">
        <v>82</v>
      </c>
      <c r="S8" s="367"/>
      <c r="T8" s="255" t="s">
        <v>81</v>
      </c>
      <c r="U8" s="255" t="s">
        <v>82</v>
      </c>
      <c r="V8" s="367"/>
      <c r="W8" s="378" t="s">
        <v>81</v>
      </c>
      <c r="X8" s="346" t="s">
        <v>82</v>
      </c>
      <c r="Y8" s="367"/>
      <c r="Z8" s="378" t="s">
        <v>81</v>
      </c>
      <c r="AA8" s="346" t="s">
        <v>82</v>
      </c>
      <c r="AB8" s="367"/>
      <c r="AC8" s="378" t="s">
        <v>81</v>
      </c>
      <c r="AD8" s="346" t="s">
        <v>82</v>
      </c>
      <c r="AE8" s="367"/>
      <c r="AF8" s="378" t="s">
        <v>81</v>
      </c>
      <c r="AG8" s="346" t="s">
        <v>82</v>
      </c>
      <c r="AH8" s="367"/>
      <c r="AI8" s="378" t="s">
        <v>81</v>
      </c>
      <c r="AJ8" s="346" t="s">
        <v>82</v>
      </c>
      <c r="AK8" s="367"/>
      <c r="AL8" s="378" t="s">
        <v>81</v>
      </c>
      <c r="AM8" s="346" t="s">
        <v>82</v>
      </c>
      <c r="AN8" s="367"/>
      <c r="AO8" s="378" t="s">
        <v>81</v>
      </c>
      <c r="AP8" s="346" t="s">
        <v>82</v>
      </c>
      <c r="AQ8" s="367"/>
      <c r="AR8" s="378" t="s">
        <v>81</v>
      </c>
      <c r="AS8" s="346" t="s">
        <v>82</v>
      </c>
      <c r="AT8" s="367"/>
      <c r="AU8" s="378" t="s">
        <v>81</v>
      </c>
      <c r="AV8" s="346" t="s">
        <v>82</v>
      </c>
      <c r="AW8" s="367"/>
      <c r="AX8" s="378" t="s">
        <v>81</v>
      </c>
      <c r="AY8" s="346" t="s">
        <v>82</v>
      </c>
      <c r="AZ8" s="367"/>
      <c r="BA8" s="378" t="s">
        <v>81</v>
      </c>
      <c r="BB8" s="346" t="s">
        <v>82</v>
      </c>
      <c r="BC8" s="367"/>
      <c r="BD8" s="378" t="s">
        <v>81</v>
      </c>
      <c r="BE8" s="346" t="s">
        <v>82</v>
      </c>
      <c r="BF8" s="367"/>
      <c r="BG8" s="379" t="s">
        <v>81</v>
      </c>
      <c r="BH8" s="380" t="s">
        <v>82</v>
      </c>
      <c r="BL8" s="346"/>
    </row>
    <row r="9" spans="3:81" s="279" customFormat="1" x14ac:dyDescent="0.25">
      <c r="E9" s="255"/>
      <c r="F9" s="367"/>
      <c r="G9" s="255"/>
      <c r="H9" s="255"/>
      <c r="I9" s="367"/>
      <c r="J9" s="255"/>
      <c r="K9" s="255"/>
      <c r="L9" s="367"/>
      <c r="M9" s="255"/>
      <c r="N9" s="255"/>
      <c r="O9" s="367"/>
      <c r="P9" s="367"/>
      <c r="Q9" s="255"/>
      <c r="R9" s="255"/>
      <c r="S9" s="367"/>
      <c r="T9" s="255"/>
      <c r="U9" s="255"/>
      <c r="V9" s="367"/>
      <c r="W9" s="378"/>
      <c r="X9" s="346"/>
      <c r="Y9" s="367"/>
      <c r="Z9" s="378"/>
      <c r="AA9" s="346"/>
      <c r="AB9" s="367"/>
      <c r="AC9" s="378"/>
      <c r="AD9" s="346"/>
      <c r="AE9" s="367"/>
      <c r="AF9" s="378"/>
      <c r="AG9" s="346"/>
      <c r="AH9" s="367"/>
      <c r="AI9" s="378"/>
      <c r="AJ9" s="346"/>
      <c r="AK9" s="367"/>
      <c r="AL9" s="378"/>
      <c r="AM9" s="346"/>
      <c r="AN9" s="367"/>
      <c r="AO9" s="378"/>
      <c r="AP9" s="346"/>
      <c r="AQ9" s="367"/>
      <c r="AR9" s="378"/>
      <c r="AS9" s="346"/>
      <c r="AT9" s="367"/>
      <c r="AU9" s="378"/>
      <c r="AV9" s="346"/>
      <c r="AW9" s="367"/>
      <c r="AX9" s="378"/>
      <c r="AY9" s="346"/>
      <c r="AZ9" s="367"/>
      <c r="BA9" s="378"/>
      <c r="BB9" s="346"/>
      <c r="BC9" s="367"/>
      <c r="BD9" s="378"/>
      <c r="BE9" s="346"/>
      <c r="BF9" s="367"/>
      <c r="BG9" s="379"/>
      <c r="BH9" s="380"/>
      <c r="BL9" s="346"/>
      <c r="BM9" s="347"/>
      <c r="BN9" s="347"/>
      <c r="BO9" s="347"/>
      <c r="BP9" s="347"/>
      <c r="BQ9" s="347"/>
      <c r="BR9" s="347"/>
      <c r="BS9" s="347"/>
      <c r="BT9" s="347"/>
      <c r="BU9" s="347"/>
      <c r="BV9" s="347"/>
      <c r="BW9" s="347"/>
      <c r="BX9" s="347"/>
      <c r="BY9" s="347"/>
      <c r="BZ9" s="347"/>
      <c r="CA9" s="347"/>
      <c r="CB9" s="347"/>
      <c r="CC9" s="347"/>
    </row>
    <row r="10" spans="3:81" x14ac:dyDescent="0.25">
      <c r="C10" s="348"/>
      <c r="D10" s="348" t="s">
        <v>137</v>
      </c>
      <c r="E10" s="381"/>
      <c r="F10" s="368"/>
      <c r="G10" s="349"/>
      <c r="H10" s="381"/>
      <c r="I10" s="368"/>
      <c r="J10" s="349"/>
      <c r="K10" s="381"/>
      <c r="L10" s="368"/>
      <c r="M10" s="349"/>
      <c r="N10" s="381"/>
      <c r="O10" s="368"/>
      <c r="P10" s="368"/>
      <c r="Q10" s="382"/>
      <c r="R10" s="381"/>
      <c r="S10" s="368"/>
      <c r="T10" s="382"/>
      <c r="U10" s="381"/>
      <c r="V10" s="368"/>
      <c r="W10" s="383"/>
      <c r="X10" s="383"/>
      <c r="Y10" s="368"/>
      <c r="Z10" s="383"/>
      <c r="AA10" s="383"/>
      <c r="AB10" s="368"/>
      <c r="AC10" s="383"/>
      <c r="AD10" s="383"/>
      <c r="AE10" s="368"/>
      <c r="AF10" s="383"/>
      <c r="AG10" s="383"/>
      <c r="AH10" s="368"/>
      <c r="AI10" s="383"/>
      <c r="AJ10" s="383"/>
      <c r="AK10" s="368"/>
      <c r="AL10" s="383"/>
      <c r="AM10" s="383"/>
      <c r="AN10" s="368"/>
      <c r="AO10" s="383"/>
      <c r="AP10" s="383"/>
      <c r="AQ10" s="368"/>
      <c r="AR10" s="383"/>
      <c r="AS10" s="383"/>
      <c r="AT10" s="368"/>
      <c r="AU10" s="383"/>
      <c r="AV10" s="383"/>
      <c r="AW10" s="368"/>
      <c r="AX10" s="383"/>
      <c r="AY10" s="383"/>
      <c r="AZ10" s="368"/>
      <c r="BA10" s="383"/>
      <c r="BB10" s="383"/>
      <c r="BC10" s="368"/>
      <c r="BD10" s="383"/>
      <c r="BE10" s="383"/>
      <c r="BF10" s="368"/>
      <c r="BG10" s="384"/>
      <c r="BH10" s="384"/>
    </row>
    <row r="11" spans="3:81" x14ac:dyDescent="0.25">
      <c r="C11" s="350"/>
      <c r="D11" s="350" t="s">
        <v>138</v>
      </c>
      <c r="E11" s="385">
        <v>6</v>
      </c>
      <c r="F11" s="369">
        <f t="shared" ref="F11:F16" ca="1" si="0">E11/$E$17</f>
        <v>0.1875</v>
      </c>
      <c r="G11" s="351"/>
      <c r="H11" s="385">
        <v>6</v>
      </c>
      <c r="I11" s="369">
        <f t="shared" ref="I11:I16" ca="1" si="1">H11/$H$17</f>
        <v>0.16666666666666666</v>
      </c>
      <c r="J11" s="351"/>
      <c r="K11" s="385">
        <v>7</v>
      </c>
      <c r="L11" s="369">
        <f t="shared" ref="L11:L16" ca="1" si="2">K11/$K$17</f>
        <v>0.19444444444444445</v>
      </c>
      <c r="M11" s="351"/>
      <c r="N11" s="385">
        <v>7</v>
      </c>
      <c r="O11" s="369">
        <f t="shared" ref="O11:O16" ca="1" si="3">N11/$N$17</f>
        <v>0.19444444444444445</v>
      </c>
      <c r="P11" s="369"/>
      <c r="Q11" s="385">
        <v>6</v>
      </c>
      <c r="R11" s="369">
        <f t="shared" ref="R11:R16" ca="1" si="4">Q11/$Q$17</f>
        <v>0.1875</v>
      </c>
      <c r="S11" s="369"/>
      <c r="T11" s="385">
        <v>5</v>
      </c>
      <c r="U11" s="369">
        <f t="shared" ref="U11:U16" ca="1" si="5">T11/$T$17</f>
        <v>0.13157894736842105</v>
      </c>
      <c r="V11" s="369"/>
      <c r="W11" s="293">
        <v>3</v>
      </c>
      <c r="X11" s="394">
        <f t="shared" ref="X11:X16" ca="1" si="6">W11/$W$17</f>
        <v>7.6923076923076927E-2</v>
      </c>
      <c r="Y11" s="369"/>
      <c r="Z11" s="293">
        <v>3</v>
      </c>
      <c r="AA11" s="394">
        <f t="shared" ref="AA11:AA16" ca="1" si="7">Z11/Z$17</f>
        <v>7.3170731707317069E-2</v>
      </c>
      <c r="AB11" s="369"/>
      <c r="AC11" s="293">
        <f ca="1">Credit_2010Q4!$AD8</f>
        <v>3</v>
      </c>
      <c r="AD11" s="394">
        <f t="shared" ref="AD11:AD16" ca="1" si="8">AC11/AC$17</f>
        <v>8.5714285714285715E-2</v>
      </c>
      <c r="AE11" s="369"/>
      <c r="AF11" s="293">
        <f ca="1">Credit_2011Q4!$AD8</f>
        <v>3</v>
      </c>
      <c r="AG11" s="394">
        <f t="shared" ref="AG11:AG16" ca="1" si="9">AF11/AF$17</f>
        <v>8.1081081081081086E-2</v>
      </c>
      <c r="AH11" s="369"/>
      <c r="AI11" s="293">
        <f t="shared" ref="AI11:AI16" ca="1" si="10">INDIRECT( BM11 &amp; $BK11 )</f>
        <v>2</v>
      </c>
      <c r="AJ11" s="394">
        <f t="shared" ref="AJ11:AJ16" ca="1" si="11">AI11/AI$17</f>
        <v>5.5555555555555552E-2</v>
      </c>
      <c r="AK11" s="369"/>
      <c r="AL11" s="293">
        <f t="shared" ref="AL11:AL16" ca="1" si="12">INDIRECT( BO11 &amp; $BK11 )</f>
        <v>1</v>
      </c>
      <c r="AM11" s="394">
        <f t="shared" ref="AM11:AM16" ca="1" si="13">AL11/AL$17</f>
        <v>2.8571428571428571E-2</v>
      </c>
      <c r="AN11" s="369"/>
      <c r="AO11" s="293">
        <f ca="1">INDIRECT( BQ11 &amp; $BK11 )</f>
        <v>1</v>
      </c>
      <c r="AP11" s="394">
        <f t="shared" ref="AP11:AP16" ca="1" si="14">AO11/AO$17</f>
        <v>2.6315789473684209E-2</v>
      </c>
      <c r="AQ11" s="369"/>
      <c r="AR11" s="293">
        <f t="shared" ref="AR11:AR16" ca="1" si="15">INDIRECT( BS11 &amp; $BK11 )</f>
        <v>1</v>
      </c>
      <c r="AS11" s="394">
        <f t="shared" ref="AS11:AS16" ca="1" si="16">AR11/AR$17</f>
        <v>2.7777777777777776E-2</v>
      </c>
      <c r="AT11" s="369"/>
      <c r="AU11" s="293">
        <f t="shared" ref="AU11:AU16" ca="1" si="17">INDIRECT( BU11 &amp; $BK11 )</f>
        <v>2</v>
      </c>
      <c r="AV11" s="394">
        <f t="shared" ref="AV11:AV16" ca="1" si="18">AU11/AU$17</f>
        <v>5.5555555555555552E-2</v>
      </c>
      <c r="AW11" s="369"/>
      <c r="AX11" s="293">
        <f t="shared" ref="AX11:AX16" ca="1" si="19">INDIRECT( BW11 &amp; $BK11 )</f>
        <v>2</v>
      </c>
      <c r="AY11" s="394">
        <f t="shared" ref="AY11:AY16" ca="1" si="20">AX11/AX$17</f>
        <v>5.7142857142857141E-2</v>
      </c>
      <c r="AZ11" s="369"/>
      <c r="BA11" s="293">
        <f ca="1">INDIRECT( BY11 &amp; $BK11 )</f>
        <v>1</v>
      </c>
      <c r="BB11" s="394">
        <f t="shared" ref="BB11:BB16" ca="1" si="21">BA11/BA$17</f>
        <v>2.9411764705882353E-2</v>
      </c>
      <c r="BC11" s="369"/>
      <c r="BD11" s="293">
        <f t="shared" ref="BD11:BD16" ca="1" si="22">INDIRECT( CA11 &amp; $BK11 )</f>
        <v>1</v>
      </c>
      <c r="BE11" s="394">
        <f t="shared" ref="BE11:BE16" ca="1" si="23">BD11/BD$17</f>
        <v>2.8571428571428571E-2</v>
      </c>
      <c r="BF11" s="369"/>
      <c r="BG11" s="386">
        <f t="shared" ref="BG11:BG16" ca="1" si="24">INDIRECT( CC11 &amp; $BK11 )</f>
        <v>1</v>
      </c>
      <c r="BH11" s="398">
        <f t="shared" ref="BH11:BH16" ca="1" si="25">BG11/BG$17</f>
        <v>2.9411764705882353E-2</v>
      </c>
      <c r="BK11" s="352">
        <v>8</v>
      </c>
      <c r="BL11" s="353" t="s">
        <v>488</v>
      </c>
      <c r="BM11" s="258" t="str">
        <f t="shared" ref="BM11:BM16" ca="1" si="26">BM$5 &amp; "!" &amp;$BL11</f>
        <v>'Credit_2012Q4'!o</v>
      </c>
      <c r="BO11" s="258" t="str">
        <f t="shared" ref="BO11:BO16" ca="1" si="27">BO$5 &amp; "!" &amp;$BL11</f>
        <v>'Credit_2013Q4'!o</v>
      </c>
      <c r="BQ11" s="258" t="str">
        <f t="shared" ref="BQ11:CC16" ca="1" si="28">BQ$5 &amp; "!" &amp;$BL11</f>
        <v>'Credit_2014Q4'!o</v>
      </c>
      <c r="BS11" s="258" t="str">
        <f t="shared" ca="1" si="28"/>
        <v>'Credit_2015Q4'!o</v>
      </c>
      <c r="BU11" s="258" t="str">
        <f t="shared" ca="1" si="28"/>
        <v>'Credit_2016Q4'!o</v>
      </c>
      <c r="BW11" s="258" t="str">
        <f t="shared" ca="1" si="28"/>
        <v>'Credit_2017Q4'!o</v>
      </c>
      <c r="BY11" s="258" t="str">
        <f t="shared" ca="1" si="28"/>
        <v>'Credit_2018Q4'!o</v>
      </c>
      <c r="CA11" s="258" t="str">
        <f t="shared" ca="1" si="28"/>
        <v>'Credit_2019Q4'!o</v>
      </c>
      <c r="CC11" s="258" t="str">
        <f t="shared" ca="1" si="28"/>
        <v>'Credit_2020Q1'!o</v>
      </c>
    </row>
    <row r="12" spans="3:81" x14ac:dyDescent="0.25">
      <c r="C12" s="354"/>
      <c r="D12" s="354" t="s">
        <v>10</v>
      </c>
      <c r="E12" s="387">
        <v>7</v>
      </c>
      <c r="F12" s="370">
        <f t="shared" ca="1" si="0"/>
        <v>0.21875</v>
      </c>
      <c r="G12" s="355"/>
      <c r="H12" s="387">
        <v>5</v>
      </c>
      <c r="I12" s="370">
        <f t="shared" ca="1" si="1"/>
        <v>0.1388888888888889</v>
      </c>
      <c r="J12" s="355"/>
      <c r="K12" s="387">
        <v>4</v>
      </c>
      <c r="L12" s="370">
        <f t="shared" ca="1" si="2"/>
        <v>0.1111111111111111</v>
      </c>
      <c r="M12" s="355"/>
      <c r="N12" s="387">
        <v>3</v>
      </c>
      <c r="O12" s="370">
        <f t="shared" ca="1" si="3"/>
        <v>8.3333333333333329E-2</v>
      </c>
      <c r="P12" s="370"/>
      <c r="Q12" s="387">
        <v>1</v>
      </c>
      <c r="R12" s="370">
        <f t="shared" ca="1" si="4"/>
        <v>3.125E-2</v>
      </c>
      <c r="S12" s="370"/>
      <c r="T12" s="387">
        <v>2</v>
      </c>
      <c r="U12" s="370">
        <f t="shared" ca="1" si="5"/>
        <v>5.2631578947368418E-2</v>
      </c>
      <c r="V12" s="370"/>
      <c r="W12" s="295">
        <v>4</v>
      </c>
      <c r="X12" s="395">
        <f t="shared" ca="1" si="6"/>
        <v>0.10256410256410256</v>
      </c>
      <c r="Y12" s="370"/>
      <c r="Z12" s="295">
        <v>6</v>
      </c>
      <c r="AA12" s="395">
        <f t="shared" ca="1" si="7"/>
        <v>0.14634146341463414</v>
      </c>
      <c r="AB12" s="370"/>
      <c r="AC12" s="295">
        <f ca="1">Credit_2010Q4!$AD9</f>
        <v>5</v>
      </c>
      <c r="AD12" s="395">
        <f t="shared" ca="1" si="8"/>
        <v>0.14285714285714285</v>
      </c>
      <c r="AE12" s="370"/>
      <c r="AF12" s="295">
        <f ca="1">Credit_2011Q4!$AD9</f>
        <v>5</v>
      </c>
      <c r="AG12" s="395">
        <f t="shared" ca="1" si="9"/>
        <v>0.13513513513513514</v>
      </c>
      <c r="AH12" s="370"/>
      <c r="AI12" s="295">
        <f t="shared" ca="1" si="10"/>
        <v>6</v>
      </c>
      <c r="AJ12" s="395">
        <f t="shared" ca="1" si="11"/>
        <v>0.16666666666666666</v>
      </c>
      <c r="AK12" s="370"/>
      <c r="AL12" s="295">
        <f t="shared" ca="1" si="12"/>
        <v>7</v>
      </c>
      <c r="AM12" s="395">
        <f t="shared" ca="1" si="13"/>
        <v>0.2</v>
      </c>
      <c r="AN12" s="370"/>
      <c r="AO12" s="295">
        <f t="shared" ref="AO12:AO16" ca="1" si="29">INDIRECT( BQ12 &amp; $BK12 )</f>
        <v>8</v>
      </c>
      <c r="AP12" s="395">
        <f t="shared" ca="1" si="14"/>
        <v>0.21052631578947367</v>
      </c>
      <c r="AQ12" s="370"/>
      <c r="AR12" s="295">
        <f t="shared" ca="1" si="15"/>
        <v>8</v>
      </c>
      <c r="AS12" s="395">
        <f t="shared" ca="1" si="16"/>
        <v>0.22222222222222221</v>
      </c>
      <c r="AT12" s="370"/>
      <c r="AU12" s="295">
        <f t="shared" ca="1" si="17"/>
        <v>10</v>
      </c>
      <c r="AV12" s="395">
        <f t="shared" ca="1" si="18"/>
        <v>0.27777777777777779</v>
      </c>
      <c r="AW12" s="370"/>
      <c r="AX12" s="295">
        <f t="shared" ca="1" si="19"/>
        <v>12</v>
      </c>
      <c r="AY12" s="395">
        <f t="shared" ca="1" si="20"/>
        <v>0.34285714285714286</v>
      </c>
      <c r="AZ12" s="370"/>
      <c r="BA12" s="295">
        <f t="shared" ref="BA12:BA26" ca="1" si="30">INDIRECT( BY12 &amp; $BK12 )</f>
        <v>11</v>
      </c>
      <c r="BB12" s="395">
        <f t="shared" ca="1" si="21"/>
        <v>0.3235294117647059</v>
      </c>
      <c r="BC12" s="370"/>
      <c r="BD12" s="295">
        <f t="shared" ca="1" si="22"/>
        <v>11</v>
      </c>
      <c r="BE12" s="395">
        <f t="shared" ca="1" si="23"/>
        <v>0.31428571428571428</v>
      </c>
      <c r="BF12" s="370"/>
      <c r="BG12" s="388">
        <f t="shared" ca="1" si="24"/>
        <v>11</v>
      </c>
      <c r="BH12" s="399">
        <f t="shared" ca="1" si="25"/>
        <v>0.3235294117647059</v>
      </c>
      <c r="BK12" s="258">
        <f ca="1">BK11+1</f>
        <v>9</v>
      </c>
      <c r="BL12" s="255" t="str">
        <f ca="1">BL11</f>
        <v>o</v>
      </c>
      <c r="BM12" s="258" t="str">
        <f t="shared" ca="1" si="26"/>
        <v>'Credit_2012Q4'!o</v>
      </c>
      <c r="BO12" s="258" t="str">
        <f t="shared" ca="1" si="27"/>
        <v>'Credit_2013Q4'!o</v>
      </c>
      <c r="BQ12" s="258" t="str">
        <f t="shared" ca="1" si="28"/>
        <v>'Credit_2014Q4'!o</v>
      </c>
      <c r="BS12" s="258" t="str">
        <f t="shared" ca="1" si="28"/>
        <v>'Credit_2015Q4'!o</v>
      </c>
      <c r="BU12" s="258" t="str">
        <f t="shared" ca="1" si="28"/>
        <v>'Credit_2016Q4'!o</v>
      </c>
      <c r="BW12" s="258" t="str">
        <f t="shared" ca="1" si="28"/>
        <v>'Credit_2017Q4'!o</v>
      </c>
      <c r="BY12" s="258" t="str">
        <f t="shared" ca="1" si="28"/>
        <v>'Credit_2018Q4'!o</v>
      </c>
      <c r="CA12" s="258" t="str">
        <f t="shared" ca="1" si="28"/>
        <v>'Credit_2019Q4'!o</v>
      </c>
      <c r="CC12" s="258" t="str">
        <f t="shared" ca="1" si="28"/>
        <v>'Credit_2020Q1'!o</v>
      </c>
    </row>
    <row r="13" spans="3:81" x14ac:dyDescent="0.25">
      <c r="C13" s="354"/>
      <c r="D13" s="354" t="s">
        <v>16</v>
      </c>
      <c r="E13" s="387">
        <v>3</v>
      </c>
      <c r="F13" s="370">
        <f t="shared" ca="1" si="0"/>
        <v>9.375E-2</v>
      </c>
      <c r="G13" s="355"/>
      <c r="H13" s="387">
        <v>6</v>
      </c>
      <c r="I13" s="370">
        <f t="shared" ca="1" si="1"/>
        <v>0.16666666666666666</v>
      </c>
      <c r="J13" s="355"/>
      <c r="K13" s="387">
        <v>7</v>
      </c>
      <c r="L13" s="370">
        <f t="shared" ca="1" si="2"/>
        <v>0.19444444444444445</v>
      </c>
      <c r="M13" s="355"/>
      <c r="N13" s="387">
        <v>8</v>
      </c>
      <c r="O13" s="370">
        <f t="shared" ca="1" si="3"/>
        <v>0.22222222222222221</v>
      </c>
      <c r="P13" s="370"/>
      <c r="Q13" s="387">
        <v>7</v>
      </c>
      <c r="R13" s="370">
        <f t="shared" ca="1" si="4"/>
        <v>0.21875</v>
      </c>
      <c r="S13" s="370"/>
      <c r="T13" s="387">
        <v>10</v>
      </c>
      <c r="U13" s="370">
        <f t="shared" ca="1" si="5"/>
        <v>0.26315789473684209</v>
      </c>
      <c r="V13" s="370"/>
      <c r="W13" s="295">
        <v>9</v>
      </c>
      <c r="X13" s="395">
        <f t="shared" ca="1" si="6"/>
        <v>0.23076923076923078</v>
      </c>
      <c r="Y13" s="370"/>
      <c r="Z13" s="295">
        <v>9</v>
      </c>
      <c r="AA13" s="395">
        <f t="shared" ca="1" si="7"/>
        <v>0.21951219512195122</v>
      </c>
      <c r="AB13" s="370"/>
      <c r="AC13" s="295">
        <f ca="1">Credit_2010Q4!$AD10</f>
        <v>6</v>
      </c>
      <c r="AD13" s="395">
        <f t="shared" ca="1" si="8"/>
        <v>0.17142857142857143</v>
      </c>
      <c r="AE13" s="370"/>
      <c r="AF13" s="295">
        <f ca="1">Credit_2011Q4!$AD10</f>
        <v>7</v>
      </c>
      <c r="AG13" s="395">
        <f t="shared" ca="1" si="9"/>
        <v>0.1891891891891892</v>
      </c>
      <c r="AH13" s="370"/>
      <c r="AI13" s="295">
        <f t="shared" ca="1" si="10"/>
        <v>5</v>
      </c>
      <c r="AJ13" s="395">
        <f t="shared" ca="1" si="11"/>
        <v>0.1388888888888889</v>
      </c>
      <c r="AK13" s="370"/>
      <c r="AL13" s="295">
        <f t="shared" ca="1" si="12"/>
        <v>6</v>
      </c>
      <c r="AM13" s="395">
        <f t="shared" ca="1" si="13"/>
        <v>0.17142857142857143</v>
      </c>
      <c r="AN13" s="370"/>
      <c r="AO13" s="295">
        <f t="shared" ca="1" si="29"/>
        <v>12</v>
      </c>
      <c r="AP13" s="395">
        <f t="shared" ca="1" si="14"/>
        <v>0.31578947368421051</v>
      </c>
      <c r="AQ13" s="370"/>
      <c r="AR13" s="295">
        <f t="shared" ca="1" si="15"/>
        <v>12</v>
      </c>
      <c r="AS13" s="395">
        <f t="shared" ca="1" si="16"/>
        <v>0.33333333333333331</v>
      </c>
      <c r="AT13" s="370"/>
      <c r="AU13" s="295">
        <f t="shared" ca="1" si="17"/>
        <v>13</v>
      </c>
      <c r="AV13" s="395">
        <f t="shared" ca="1" si="18"/>
        <v>0.3611111111111111</v>
      </c>
      <c r="AW13" s="370"/>
      <c r="AX13" s="295">
        <f t="shared" ca="1" si="19"/>
        <v>10</v>
      </c>
      <c r="AY13" s="395">
        <f t="shared" ca="1" si="20"/>
        <v>0.2857142857142857</v>
      </c>
      <c r="AZ13" s="370"/>
      <c r="BA13" s="295">
        <f t="shared" ca="1" si="30"/>
        <v>11</v>
      </c>
      <c r="BB13" s="395">
        <f t="shared" ca="1" si="21"/>
        <v>0.3235294117647059</v>
      </c>
      <c r="BC13" s="370"/>
      <c r="BD13" s="295">
        <f t="shared" ca="1" si="22"/>
        <v>11</v>
      </c>
      <c r="BE13" s="395">
        <f t="shared" ca="1" si="23"/>
        <v>0.31428571428571428</v>
      </c>
      <c r="BF13" s="370"/>
      <c r="BG13" s="388">
        <f t="shared" ca="1" si="24"/>
        <v>11</v>
      </c>
      <c r="BH13" s="399">
        <f t="shared" ca="1" si="25"/>
        <v>0.3235294117647059</v>
      </c>
      <c r="BK13" s="258">
        <f ca="1">BK12+1</f>
        <v>10</v>
      </c>
      <c r="BL13" s="255" t="str">
        <f t="shared" ref="BL13:BL16" ca="1" si="31">BL12</f>
        <v>o</v>
      </c>
      <c r="BM13" s="258" t="str">
        <f t="shared" ca="1" si="26"/>
        <v>'Credit_2012Q4'!o</v>
      </c>
      <c r="BO13" s="258" t="str">
        <f t="shared" ca="1" si="27"/>
        <v>'Credit_2013Q4'!o</v>
      </c>
      <c r="BQ13" s="258" t="str">
        <f t="shared" ca="1" si="28"/>
        <v>'Credit_2014Q4'!o</v>
      </c>
      <c r="BS13" s="258" t="str">
        <f t="shared" ca="1" si="28"/>
        <v>'Credit_2015Q4'!o</v>
      </c>
      <c r="BU13" s="258" t="str">
        <f t="shared" ca="1" si="28"/>
        <v>'Credit_2016Q4'!o</v>
      </c>
      <c r="BW13" s="258" t="str">
        <f t="shared" ca="1" si="28"/>
        <v>'Credit_2017Q4'!o</v>
      </c>
      <c r="BY13" s="258" t="str">
        <f t="shared" ca="1" si="28"/>
        <v>'Credit_2018Q4'!o</v>
      </c>
      <c r="CA13" s="258" t="str">
        <f t="shared" ca="1" si="28"/>
        <v>'Credit_2019Q4'!o</v>
      </c>
      <c r="CC13" s="258" t="str">
        <f t="shared" ca="1" si="28"/>
        <v>'Credit_2020Q1'!o</v>
      </c>
    </row>
    <row r="14" spans="3:81" x14ac:dyDescent="0.25">
      <c r="C14" s="354"/>
      <c r="D14" s="354" t="s">
        <v>28</v>
      </c>
      <c r="E14" s="387">
        <v>6</v>
      </c>
      <c r="F14" s="370">
        <f t="shared" ca="1" si="0"/>
        <v>0.1875</v>
      </c>
      <c r="G14" s="355"/>
      <c r="H14" s="387">
        <v>6</v>
      </c>
      <c r="I14" s="370">
        <f t="shared" ca="1" si="1"/>
        <v>0.16666666666666666</v>
      </c>
      <c r="J14" s="355"/>
      <c r="K14" s="387">
        <v>8</v>
      </c>
      <c r="L14" s="370">
        <f t="shared" ca="1" si="2"/>
        <v>0.22222222222222221</v>
      </c>
      <c r="M14" s="355"/>
      <c r="N14" s="387">
        <v>9</v>
      </c>
      <c r="O14" s="370">
        <f t="shared" ca="1" si="3"/>
        <v>0.25</v>
      </c>
      <c r="P14" s="370"/>
      <c r="Q14" s="387">
        <v>9</v>
      </c>
      <c r="R14" s="370">
        <f t="shared" ca="1" si="4"/>
        <v>0.28125</v>
      </c>
      <c r="S14" s="370"/>
      <c r="T14" s="387">
        <v>8</v>
      </c>
      <c r="U14" s="370">
        <f t="shared" ca="1" si="5"/>
        <v>0.21052631578947367</v>
      </c>
      <c r="V14" s="370"/>
      <c r="W14" s="387">
        <v>9</v>
      </c>
      <c r="X14" s="395">
        <f t="shared" ca="1" si="6"/>
        <v>0.23076923076923078</v>
      </c>
      <c r="Y14" s="370"/>
      <c r="Z14" s="387">
        <v>11</v>
      </c>
      <c r="AA14" s="395">
        <f t="shared" ca="1" si="7"/>
        <v>0.26829268292682928</v>
      </c>
      <c r="AB14" s="370"/>
      <c r="AC14" s="387">
        <f ca="1">Credit_2010Q4!$AD11</f>
        <v>11</v>
      </c>
      <c r="AD14" s="395">
        <f t="shared" ca="1" si="8"/>
        <v>0.31428571428571428</v>
      </c>
      <c r="AE14" s="370"/>
      <c r="AF14" s="387">
        <f ca="1">Credit_2011Q4!$AD11</f>
        <v>13</v>
      </c>
      <c r="AG14" s="395">
        <f t="shared" ca="1" si="9"/>
        <v>0.35135135135135137</v>
      </c>
      <c r="AH14" s="370"/>
      <c r="AI14" s="387">
        <f t="shared" ca="1" si="10"/>
        <v>13</v>
      </c>
      <c r="AJ14" s="395">
        <f t="shared" ca="1" si="11"/>
        <v>0.3611111111111111</v>
      </c>
      <c r="AK14" s="370"/>
      <c r="AL14" s="387">
        <f t="shared" ca="1" si="12"/>
        <v>17</v>
      </c>
      <c r="AM14" s="395">
        <f t="shared" ca="1" si="13"/>
        <v>0.48571428571428571</v>
      </c>
      <c r="AN14" s="370"/>
      <c r="AO14" s="387">
        <f t="shared" ca="1" si="29"/>
        <v>14</v>
      </c>
      <c r="AP14" s="395">
        <f t="shared" ca="1" si="14"/>
        <v>0.36842105263157893</v>
      </c>
      <c r="AQ14" s="370"/>
      <c r="AR14" s="387">
        <f t="shared" ca="1" si="15"/>
        <v>12</v>
      </c>
      <c r="AS14" s="395">
        <f t="shared" ca="1" si="16"/>
        <v>0.33333333333333331</v>
      </c>
      <c r="AT14" s="370"/>
      <c r="AU14" s="387">
        <f t="shared" ca="1" si="17"/>
        <v>8</v>
      </c>
      <c r="AV14" s="395">
        <f t="shared" ca="1" si="18"/>
        <v>0.22222222222222221</v>
      </c>
      <c r="AW14" s="370"/>
      <c r="AX14" s="387">
        <f t="shared" ca="1" si="19"/>
        <v>7</v>
      </c>
      <c r="AY14" s="395">
        <f t="shared" ca="1" si="20"/>
        <v>0.2</v>
      </c>
      <c r="AZ14" s="370"/>
      <c r="BA14" s="387">
        <f t="shared" ca="1" si="30"/>
        <v>7</v>
      </c>
      <c r="BB14" s="395">
        <f t="shared" ca="1" si="21"/>
        <v>0.20588235294117646</v>
      </c>
      <c r="BC14" s="370"/>
      <c r="BD14" s="387">
        <f t="shared" ca="1" si="22"/>
        <v>8</v>
      </c>
      <c r="BE14" s="395">
        <f t="shared" ca="1" si="23"/>
        <v>0.22857142857142856</v>
      </c>
      <c r="BF14" s="370"/>
      <c r="BG14" s="388">
        <f t="shared" ca="1" si="24"/>
        <v>8</v>
      </c>
      <c r="BH14" s="399">
        <f t="shared" ca="1" si="25"/>
        <v>0.23529411764705882</v>
      </c>
      <c r="BK14" s="258">
        <f ca="1">BK13+1</f>
        <v>11</v>
      </c>
      <c r="BL14" s="255" t="str">
        <f t="shared" ca="1" si="31"/>
        <v>o</v>
      </c>
      <c r="BM14" s="258" t="str">
        <f t="shared" ca="1" si="26"/>
        <v>'Credit_2012Q4'!o</v>
      </c>
      <c r="BO14" s="258" t="str">
        <f t="shared" ca="1" si="27"/>
        <v>'Credit_2013Q4'!o</v>
      </c>
      <c r="BQ14" s="258" t="str">
        <f t="shared" ca="1" si="28"/>
        <v>'Credit_2014Q4'!o</v>
      </c>
      <c r="BS14" s="258" t="str">
        <f t="shared" ca="1" si="28"/>
        <v>'Credit_2015Q4'!o</v>
      </c>
      <c r="BU14" s="258" t="str">
        <f t="shared" ca="1" si="28"/>
        <v>'Credit_2016Q4'!o</v>
      </c>
      <c r="BW14" s="258" t="str">
        <f t="shared" ca="1" si="28"/>
        <v>'Credit_2017Q4'!o</v>
      </c>
      <c r="BY14" s="258" t="str">
        <f t="shared" ca="1" si="28"/>
        <v>'Credit_2018Q4'!o</v>
      </c>
      <c r="CA14" s="258" t="str">
        <f t="shared" ca="1" si="28"/>
        <v>'Credit_2019Q4'!o</v>
      </c>
      <c r="CC14" s="258" t="str">
        <f t="shared" ca="1" si="28"/>
        <v>'Credit_2020Q1'!o</v>
      </c>
    </row>
    <row r="15" spans="3:81" x14ac:dyDescent="0.25">
      <c r="C15" s="354"/>
      <c r="D15" s="354" t="s">
        <v>49</v>
      </c>
      <c r="E15" s="387">
        <v>4</v>
      </c>
      <c r="F15" s="370">
        <f t="shared" ca="1" si="0"/>
        <v>0.125</v>
      </c>
      <c r="G15" s="355"/>
      <c r="H15" s="387">
        <v>5</v>
      </c>
      <c r="I15" s="370">
        <f t="shared" ca="1" si="1"/>
        <v>0.1388888888888889</v>
      </c>
      <c r="J15" s="355"/>
      <c r="K15" s="387">
        <v>5</v>
      </c>
      <c r="L15" s="370">
        <f t="shared" ca="1" si="2"/>
        <v>0.1388888888888889</v>
      </c>
      <c r="M15" s="355"/>
      <c r="N15" s="387">
        <v>3</v>
      </c>
      <c r="O15" s="370">
        <f t="shared" ca="1" si="3"/>
        <v>8.3333333333333329E-2</v>
      </c>
      <c r="P15" s="370"/>
      <c r="Q15" s="387">
        <v>3</v>
      </c>
      <c r="R15" s="370">
        <f t="shared" ca="1" si="4"/>
        <v>9.375E-2</v>
      </c>
      <c r="S15" s="370"/>
      <c r="T15" s="387">
        <v>7</v>
      </c>
      <c r="U15" s="370">
        <f t="shared" ca="1" si="5"/>
        <v>0.18421052631578946</v>
      </c>
      <c r="V15" s="370"/>
      <c r="W15" s="387">
        <v>9</v>
      </c>
      <c r="X15" s="395">
        <f t="shared" ca="1" si="6"/>
        <v>0.23076923076923078</v>
      </c>
      <c r="Y15" s="370"/>
      <c r="Z15" s="387">
        <v>8</v>
      </c>
      <c r="AA15" s="395">
        <f t="shared" ca="1" si="7"/>
        <v>0.1951219512195122</v>
      </c>
      <c r="AB15" s="370"/>
      <c r="AC15" s="387">
        <f ca="1">Credit_2010Q4!$AD12</f>
        <v>6</v>
      </c>
      <c r="AD15" s="395">
        <f t="shared" ca="1" si="8"/>
        <v>0.17142857142857143</v>
      </c>
      <c r="AE15" s="370"/>
      <c r="AF15" s="387">
        <f ca="1">Credit_2011Q4!$AD12</f>
        <v>5</v>
      </c>
      <c r="AG15" s="395">
        <f t="shared" ca="1" si="9"/>
        <v>0.13513513513513514</v>
      </c>
      <c r="AH15" s="370"/>
      <c r="AI15" s="387">
        <f t="shared" ca="1" si="10"/>
        <v>6</v>
      </c>
      <c r="AJ15" s="395">
        <f t="shared" ca="1" si="11"/>
        <v>0.16666666666666666</v>
      </c>
      <c r="AK15" s="370"/>
      <c r="AL15" s="387">
        <f t="shared" ca="1" si="12"/>
        <v>2</v>
      </c>
      <c r="AM15" s="395">
        <f t="shared" ca="1" si="13"/>
        <v>5.7142857142857141E-2</v>
      </c>
      <c r="AN15" s="370"/>
      <c r="AO15" s="387">
        <f t="shared" ca="1" si="29"/>
        <v>1</v>
      </c>
      <c r="AP15" s="395">
        <f t="shared" ca="1" si="14"/>
        <v>2.6315789473684209E-2</v>
      </c>
      <c r="AQ15" s="370"/>
      <c r="AR15" s="387">
        <f t="shared" ca="1" si="15"/>
        <v>1</v>
      </c>
      <c r="AS15" s="395">
        <f t="shared" ca="1" si="16"/>
        <v>2.7777777777777776E-2</v>
      </c>
      <c r="AT15" s="370"/>
      <c r="AU15" s="387">
        <f t="shared" ca="1" si="17"/>
        <v>3</v>
      </c>
      <c r="AV15" s="395">
        <f t="shared" ca="1" si="18"/>
        <v>8.3333333333333329E-2</v>
      </c>
      <c r="AW15" s="370"/>
      <c r="AX15" s="387">
        <f t="shared" ca="1" si="19"/>
        <v>4</v>
      </c>
      <c r="AY15" s="395">
        <f t="shared" ca="1" si="20"/>
        <v>0.11428571428571428</v>
      </c>
      <c r="AZ15" s="370"/>
      <c r="BA15" s="387">
        <f t="shared" ca="1" si="30"/>
        <v>4</v>
      </c>
      <c r="BB15" s="395">
        <f t="shared" ca="1" si="21"/>
        <v>0.11764705882352941</v>
      </c>
      <c r="BC15" s="370"/>
      <c r="BD15" s="387">
        <f t="shared" ca="1" si="22"/>
        <v>2</v>
      </c>
      <c r="BE15" s="395">
        <f t="shared" ca="1" si="23"/>
        <v>5.7142857142857141E-2</v>
      </c>
      <c r="BF15" s="370"/>
      <c r="BG15" s="388">
        <f t="shared" ca="1" si="24"/>
        <v>2</v>
      </c>
      <c r="BH15" s="399">
        <f t="shared" ca="1" si="25"/>
        <v>5.8823529411764705E-2</v>
      </c>
      <c r="BK15" s="258">
        <f ca="1">BK14+1</f>
        <v>12</v>
      </c>
      <c r="BL15" s="255" t="str">
        <f t="shared" ca="1" si="31"/>
        <v>o</v>
      </c>
      <c r="BM15" s="258" t="str">
        <f t="shared" ca="1" si="26"/>
        <v>'Credit_2012Q4'!o</v>
      </c>
      <c r="BO15" s="258" t="str">
        <f t="shared" ca="1" si="27"/>
        <v>'Credit_2013Q4'!o</v>
      </c>
      <c r="BQ15" s="258" t="str">
        <f t="shared" ca="1" si="28"/>
        <v>'Credit_2014Q4'!o</v>
      </c>
      <c r="BS15" s="258" t="str">
        <f t="shared" ca="1" si="28"/>
        <v>'Credit_2015Q4'!o</v>
      </c>
      <c r="BU15" s="258" t="str">
        <f t="shared" ca="1" si="28"/>
        <v>'Credit_2016Q4'!o</v>
      </c>
      <c r="BW15" s="258" t="str">
        <f t="shared" ca="1" si="28"/>
        <v>'Credit_2017Q4'!o</v>
      </c>
      <c r="BY15" s="258" t="str">
        <f t="shared" ca="1" si="28"/>
        <v>'Credit_2018Q4'!o</v>
      </c>
      <c r="CA15" s="258" t="str">
        <f t="shared" ca="1" si="28"/>
        <v>'Credit_2019Q4'!o</v>
      </c>
      <c r="CC15" s="258" t="str">
        <f t="shared" ca="1" si="28"/>
        <v>'Credit_2020Q1'!o</v>
      </c>
    </row>
    <row r="16" spans="3:81" x14ac:dyDescent="0.25">
      <c r="C16" s="356"/>
      <c r="D16" s="356" t="s">
        <v>79</v>
      </c>
      <c r="E16" s="389">
        <v>6</v>
      </c>
      <c r="F16" s="371">
        <f t="shared" ca="1" si="0"/>
        <v>0.1875</v>
      </c>
      <c r="G16" s="357"/>
      <c r="H16" s="389">
        <v>8</v>
      </c>
      <c r="I16" s="371">
        <f t="shared" ca="1" si="1"/>
        <v>0.22222222222222221</v>
      </c>
      <c r="J16" s="358"/>
      <c r="K16" s="389">
        <v>5</v>
      </c>
      <c r="L16" s="371">
        <f t="shared" ca="1" si="2"/>
        <v>0.1388888888888889</v>
      </c>
      <c r="M16" s="357"/>
      <c r="N16" s="389">
        <v>6</v>
      </c>
      <c r="O16" s="371">
        <f t="shared" ca="1" si="3"/>
        <v>0.16666666666666666</v>
      </c>
      <c r="P16" s="371"/>
      <c r="Q16" s="389">
        <v>6</v>
      </c>
      <c r="R16" s="371">
        <f t="shared" ca="1" si="4"/>
        <v>0.1875</v>
      </c>
      <c r="S16" s="371"/>
      <c r="T16" s="389">
        <v>6</v>
      </c>
      <c r="U16" s="393">
        <f t="shared" ca="1" si="5"/>
        <v>0.15789473684210525</v>
      </c>
      <c r="V16" s="371"/>
      <c r="W16" s="389">
        <v>5</v>
      </c>
      <c r="X16" s="371">
        <f t="shared" ca="1" si="6"/>
        <v>0.12820512820512819</v>
      </c>
      <c r="Y16" s="371"/>
      <c r="Z16" s="389">
        <v>4</v>
      </c>
      <c r="AA16" s="371">
        <f t="shared" ca="1" si="7"/>
        <v>9.7560975609756101E-2</v>
      </c>
      <c r="AB16" s="371"/>
      <c r="AC16" s="389">
        <f ca="1">Credit_2010Q4!$AD13</f>
        <v>4</v>
      </c>
      <c r="AD16" s="371">
        <f t="shared" ca="1" si="8"/>
        <v>0.11428571428571428</v>
      </c>
      <c r="AE16" s="371"/>
      <c r="AF16" s="389">
        <f ca="1">Credit_2011Q4!$AD13</f>
        <v>4</v>
      </c>
      <c r="AG16" s="371">
        <f t="shared" ca="1" si="9"/>
        <v>0.10810810810810811</v>
      </c>
      <c r="AH16" s="371"/>
      <c r="AI16" s="389">
        <f t="shared" ca="1" si="10"/>
        <v>4</v>
      </c>
      <c r="AJ16" s="371">
        <f t="shared" ca="1" si="11"/>
        <v>0.1111111111111111</v>
      </c>
      <c r="AK16" s="371"/>
      <c r="AL16" s="389">
        <f t="shared" ca="1" si="12"/>
        <v>2</v>
      </c>
      <c r="AM16" s="371">
        <f t="shared" ca="1" si="13"/>
        <v>5.7142857142857141E-2</v>
      </c>
      <c r="AN16" s="371"/>
      <c r="AO16" s="389">
        <f t="shared" ca="1" si="29"/>
        <v>2</v>
      </c>
      <c r="AP16" s="371">
        <f t="shared" ca="1" si="14"/>
        <v>5.2631578947368418E-2</v>
      </c>
      <c r="AQ16" s="371"/>
      <c r="AR16" s="389">
        <f t="shared" ca="1" si="15"/>
        <v>2</v>
      </c>
      <c r="AS16" s="371">
        <f t="shared" ca="1" si="16"/>
        <v>5.5555555555555552E-2</v>
      </c>
      <c r="AT16" s="371"/>
      <c r="AU16" s="389">
        <f t="shared" ca="1" si="17"/>
        <v>0</v>
      </c>
      <c r="AV16" s="371">
        <f t="shared" ca="1" si="18"/>
        <v>0</v>
      </c>
      <c r="AW16" s="371"/>
      <c r="AX16" s="389">
        <f t="shared" ca="1" si="19"/>
        <v>0</v>
      </c>
      <c r="AY16" s="371">
        <f t="shared" ca="1" si="20"/>
        <v>0</v>
      </c>
      <c r="AZ16" s="371"/>
      <c r="BA16" s="389">
        <f t="shared" ca="1" si="30"/>
        <v>0</v>
      </c>
      <c r="BB16" s="371">
        <f t="shared" ca="1" si="21"/>
        <v>0</v>
      </c>
      <c r="BC16" s="371"/>
      <c r="BD16" s="389">
        <f t="shared" ca="1" si="22"/>
        <v>2</v>
      </c>
      <c r="BE16" s="371">
        <f t="shared" ca="1" si="23"/>
        <v>5.7142857142857141E-2</v>
      </c>
      <c r="BF16" s="371"/>
      <c r="BG16" s="390">
        <f t="shared" ca="1" si="24"/>
        <v>1</v>
      </c>
      <c r="BH16" s="400">
        <f t="shared" ca="1" si="25"/>
        <v>2.9411764705882353E-2</v>
      </c>
      <c r="BK16" s="258">
        <f ca="1">BK15+1</f>
        <v>13</v>
      </c>
      <c r="BL16" s="255" t="str">
        <f t="shared" ca="1" si="31"/>
        <v>o</v>
      </c>
      <c r="BM16" s="258" t="str">
        <f t="shared" ca="1" si="26"/>
        <v>'Credit_2012Q4'!o</v>
      </c>
      <c r="BO16" s="258" t="str">
        <f t="shared" ca="1" si="27"/>
        <v>'Credit_2013Q4'!o</v>
      </c>
      <c r="BQ16" s="258" t="str">
        <f t="shared" ca="1" si="28"/>
        <v>'Credit_2014Q4'!o</v>
      </c>
      <c r="BS16" s="258" t="str">
        <f t="shared" ca="1" si="28"/>
        <v>'Credit_2015Q4'!o</v>
      </c>
      <c r="BU16" s="258" t="str">
        <f t="shared" ca="1" si="28"/>
        <v>'Credit_2016Q4'!o</v>
      </c>
      <c r="BW16" s="258" t="str">
        <f t="shared" ca="1" si="28"/>
        <v>'Credit_2017Q4'!o</v>
      </c>
      <c r="BY16" s="258" t="str">
        <f t="shared" ca="1" si="28"/>
        <v>'Credit_2018Q4'!o</v>
      </c>
      <c r="CA16" s="258" t="str">
        <f t="shared" ca="1" si="28"/>
        <v>'Credit_2019Q4'!o</v>
      </c>
      <c r="CC16" s="258" t="str">
        <f t="shared" ca="1" si="28"/>
        <v>'Credit_2020Q1'!o</v>
      </c>
    </row>
    <row r="17" spans="3:81" x14ac:dyDescent="0.25">
      <c r="C17" s="359"/>
      <c r="D17" s="359" t="s">
        <v>80</v>
      </c>
      <c r="E17" s="391">
        <f t="shared" ref="E17:AA17" ca="1" si="32">SUM(E11:E16)</f>
        <v>32</v>
      </c>
      <c r="F17" s="372">
        <f t="shared" ca="1" si="32"/>
        <v>1</v>
      </c>
      <c r="G17" s="360"/>
      <c r="H17" s="391">
        <f t="shared" ca="1" si="32"/>
        <v>36</v>
      </c>
      <c r="I17" s="372">
        <f t="shared" ca="1" si="32"/>
        <v>0.99999999999999989</v>
      </c>
      <c r="J17" s="360"/>
      <c r="K17" s="391">
        <f t="shared" ca="1" si="32"/>
        <v>36</v>
      </c>
      <c r="L17" s="372">
        <f t="shared" ca="1" si="32"/>
        <v>1</v>
      </c>
      <c r="M17" s="360"/>
      <c r="N17" s="391">
        <f ca="1">SUM(N11:N16)</f>
        <v>36</v>
      </c>
      <c r="O17" s="372">
        <f ca="1">SUM(O11:O16)</f>
        <v>1</v>
      </c>
      <c r="P17" s="372"/>
      <c r="Q17" s="391">
        <f ca="1">SUM(Q11:Q16)</f>
        <v>32</v>
      </c>
      <c r="R17" s="372">
        <f t="shared" ca="1" si="32"/>
        <v>1</v>
      </c>
      <c r="S17" s="372"/>
      <c r="T17" s="391">
        <f ca="1">SUM(T11:T16)</f>
        <v>38</v>
      </c>
      <c r="U17" s="372">
        <f t="shared" ca="1" si="32"/>
        <v>1</v>
      </c>
      <c r="V17" s="372"/>
      <c r="W17" s="391">
        <f ca="1">SUM(W11:W16)</f>
        <v>39</v>
      </c>
      <c r="X17" s="372">
        <f t="shared" ca="1" si="32"/>
        <v>1</v>
      </c>
      <c r="Y17" s="372"/>
      <c r="Z17" s="391">
        <f ca="1">SUM(Z11:Z16)</f>
        <v>41</v>
      </c>
      <c r="AA17" s="372">
        <f t="shared" ca="1" si="32"/>
        <v>0.99999999999999989</v>
      </c>
      <c r="AB17" s="372"/>
      <c r="AC17" s="391">
        <f t="shared" ref="AC17:AF17" ca="1" si="33">SUM(AC11:AC16)</f>
        <v>35</v>
      </c>
      <c r="AD17" s="372">
        <f t="shared" ca="1" si="33"/>
        <v>1</v>
      </c>
      <c r="AE17" s="372"/>
      <c r="AF17" s="391">
        <f t="shared" ca="1" si="33"/>
        <v>37</v>
      </c>
      <c r="AG17" s="372">
        <f t="shared" ref="AG17" ca="1" si="34">SUM(AG11:AG16)</f>
        <v>1</v>
      </c>
      <c r="AH17" s="372"/>
      <c r="AI17" s="391">
        <f ca="1">SUM(AI11:AI16)</f>
        <v>36</v>
      </c>
      <c r="AJ17" s="372">
        <f t="shared" ref="AJ17" ca="1" si="35">SUM(AJ11:AJ16)</f>
        <v>1</v>
      </c>
      <c r="AK17" s="372"/>
      <c r="AL17" s="391">
        <f ca="1">SUM(AL11:AL16)</f>
        <v>35</v>
      </c>
      <c r="AM17" s="372">
        <f ca="1">SUM(AM11:AM16)</f>
        <v>1</v>
      </c>
      <c r="AN17" s="372"/>
      <c r="AO17" s="391">
        <f ca="1">SUM(AO11:AO16)</f>
        <v>38</v>
      </c>
      <c r="AP17" s="372">
        <f ca="1">SUM(AP11:AP16)</f>
        <v>1</v>
      </c>
      <c r="AQ17" s="372"/>
      <c r="AR17" s="391">
        <f ca="1">SUM(AR11:AR16)</f>
        <v>36</v>
      </c>
      <c r="AS17" s="372">
        <f ca="1">SUM(AS11:AS16)</f>
        <v>0.99999999999999989</v>
      </c>
      <c r="AT17" s="372"/>
      <c r="AU17" s="391">
        <f ca="1">SUM(AU11:AU16)</f>
        <v>36</v>
      </c>
      <c r="AV17" s="372">
        <f ca="1">SUM(AV11:AV16)</f>
        <v>1</v>
      </c>
      <c r="AW17" s="372"/>
      <c r="AX17" s="391">
        <f ca="1">SUM(AX11:AX16)</f>
        <v>35</v>
      </c>
      <c r="AY17" s="372">
        <f ca="1">SUM(AY11:AY16)</f>
        <v>1</v>
      </c>
      <c r="AZ17" s="372"/>
      <c r="BA17" s="391">
        <f ca="1">SUM(BA11:BA16)</f>
        <v>34</v>
      </c>
      <c r="BB17" s="372">
        <f ca="1">SUM(BB11:BB16)</f>
        <v>1</v>
      </c>
      <c r="BC17" s="372"/>
      <c r="BD17" s="391">
        <f ca="1">SUM(BD11:BD16)</f>
        <v>35</v>
      </c>
      <c r="BE17" s="372">
        <f ca="1">SUM(BE11:BE16)</f>
        <v>1</v>
      </c>
      <c r="BF17" s="372"/>
      <c r="BG17" s="392">
        <f ca="1">SUM(BG11:BG16)</f>
        <v>34</v>
      </c>
      <c r="BH17" s="401">
        <f ca="1">SUM(BH11:BH16)</f>
        <v>1</v>
      </c>
    </row>
    <row r="18" spans="3:81" x14ac:dyDescent="0.25">
      <c r="C18" s="361"/>
      <c r="D18" s="361"/>
      <c r="E18" s="378"/>
      <c r="F18" s="373"/>
      <c r="G18" s="362"/>
      <c r="H18" s="378"/>
      <c r="I18" s="373"/>
      <c r="J18" s="362"/>
      <c r="K18" s="378"/>
      <c r="L18" s="373"/>
      <c r="M18" s="362"/>
      <c r="N18" s="378"/>
      <c r="O18" s="373"/>
      <c r="P18" s="373"/>
      <c r="Q18" s="378"/>
      <c r="R18" s="373"/>
      <c r="S18" s="373"/>
      <c r="T18" s="378"/>
      <c r="U18" s="373"/>
      <c r="V18" s="373"/>
      <c r="W18" s="378"/>
      <c r="X18" s="373"/>
      <c r="Y18" s="373"/>
      <c r="Z18" s="378"/>
      <c r="AA18" s="373"/>
      <c r="AB18" s="373"/>
      <c r="AC18" s="378"/>
      <c r="AD18" s="373"/>
      <c r="AE18" s="373"/>
      <c r="AF18" s="378"/>
      <c r="AG18" s="373"/>
      <c r="AH18" s="373"/>
      <c r="AI18" s="378"/>
      <c r="AJ18" s="373"/>
      <c r="AK18" s="373"/>
      <c r="AL18" s="378"/>
      <c r="AM18" s="373"/>
      <c r="AN18" s="373"/>
      <c r="AO18" s="378"/>
      <c r="AP18" s="373"/>
      <c r="AQ18" s="373"/>
      <c r="AR18" s="378"/>
      <c r="AS18" s="373"/>
      <c r="AT18" s="373"/>
      <c r="AU18" s="378"/>
      <c r="AV18" s="373"/>
      <c r="AW18" s="373"/>
      <c r="AX18" s="378"/>
      <c r="AY18" s="373"/>
      <c r="AZ18" s="373"/>
      <c r="BA18" s="378"/>
      <c r="BB18" s="373"/>
      <c r="BC18" s="373"/>
      <c r="BD18" s="378"/>
      <c r="BE18" s="373"/>
      <c r="BF18" s="373"/>
      <c r="BG18" s="379"/>
      <c r="BH18" s="402"/>
    </row>
    <row r="19" spans="3:81" x14ac:dyDescent="0.25">
      <c r="C19" s="361"/>
      <c r="D19" s="361"/>
      <c r="E19" s="378"/>
      <c r="F19" s="373"/>
      <c r="G19" s="362"/>
      <c r="H19" s="378"/>
      <c r="I19" s="373"/>
      <c r="J19" s="362"/>
      <c r="K19" s="378"/>
      <c r="L19" s="373"/>
      <c r="M19" s="362"/>
      <c r="N19" s="378"/>
      <c r="O19" s="373"/>
      <c r="P19" s="373"/>
      <c r="Q19" s="378"/>
      <c r="R19" s="373"/>
      <c r="S19" s="373"/>
      <c r="T19" s="378"/>
      <c r="U19" s="373"/>
      <c r="V19" s="373"/>
      <c r="W19" s="378"/>
      <c r="X19" s="373"/>
      <c r="Y19" s="373"/>
      <c r="Z19" s="378"/>
      <c r="AA19" s="373"/>
      <c r="AB19" s="373"/>
      <c r="AC19" s="378"/>
      <c r="AD19" s="373"/>
      <c r="AE19" s="373"/>
      <c r="AF19" s="378"/>
      <c r="AG19" s="373"/>
      <c r="AH19" s="373"/>
      <c r="AI19" s="378"/>
      <c r="AJ19" s="373"/>
      <c r="AK19" s="373"/>
      <c r="AL19" s="378"/>
      <c r="AM19" s="373"/>
      <c r="AN19" s="373"/>
      <c r="AO19" s="378"/>
      <c r="AP19" s="373"/>
      <c r="AQ19" s="373"/>
      <c r="AR19" s="378"/>
      <c r="AS19" s="373"/>
      <c r="AT19" s="373"/>
      <c r="AU19" s="378"/>
      <c r="AV19" s="373"/>
      <c r="AW19" s="373"/>
      <c r="AX19" s="378"/>
      <c r="AY19" s="373"/>
      <c r="AZ19" s="373"/>
      <c r="BA19" s="378"/>
      <c r="BB19" s="373"/>
      <c r="BC19" s="373"/>
      <c r="BD19" s="378"/>
      <c r="BE19" s="373"/>
      <c r="BF19" s="373"/>
      <c r="BG19" s="379"/>
      <c r="BH19" s="402"/>
    </row>
    <row r="20" spans="3:81" x14ac:dyDescent="0.25">
      <c r="C20" s="348"/>
      <c r="D20" s="348" t="s">
        <v>139</v>
      </c>
      <c r="E20" s="382"/>
      <c r="F20" s="374"/>
      <c r="G20" s="363"/>
      <c r="H20" s="382"/>
      <c r="I20" s="374"/>
      <c r="J20" s="363"/>
      <c r="K20" s="382"/>
      <c r="L20" s="374"/>
      <c r="M20" s="363"/>
      <c r="N20" s="382"/>
      <c r="O20" s="374"/>
      <c r="P20" s="374"/>
      <c r="Q20" s="382"/>
      <c r="R20" s="374"/>
      <c r="S20" s="374"/>
      <c r="T20" s="382"/>
      <c r="U20" s="374"/>
      <c r="V20" s="374"/>
      <c r="W20" s="383"/>
      <c r="X20" s="396"/>
      <c r="Y20" s="374"/>
      <c r="Z20" s="383"/>
      <c r="AA20" s="396"/>
      <c r="AB20" s="374"/>
      <c r="AC20" s="383"/>
      <c r="AD20" s="396"/>
      <c r="AE20" s="374"/>
      <c r="AF20" s="383"/>
      <c r="AG20" s="396"/>
      <c r="AH20" s="374"/>
      <c r="AI20" s="383"/>
      <c r="AJ20" s="396"/>
      <c r="AK20" s="374"/>
      <c r="AL20" s="383"/>
      <c r="AM20" s="396"/>
      <c r="AN20" s="374"/>
      <c r="AO20" s="383"/>
      <c r="AP20" s="396"/>
      <c r="AQ20" s="374"/>
      <c r="AR20" s="383"/>
      <c r="AS20" s="396"/>
      <c r="AT20" s="374"/>
      <c r="AU20" s="383"/>
      <c r="AV20" s="396"/>
      <c r="AW20" s="374"/>
      <c r="AX20" s="383"/>
      <c r="AY20" s="396"/>
      <c r="AZ20" s="374"/>
      <c r="BA20" s="383"/>
      <c r="BB20" s="396"/>
      <c r="BC20" s="374"/>
      <c r="BD20" s="383"/>
      <c r="BE20" s="396"/>
      <c r="BF20" s="374"/>
      <c r="BG20" s="384"/>
      <c r="BH20" s="403"/>
    </row>
    <row r="21" spans="3:81" x14ac:dyDescent="0.25">
      <c r="C21" s="350"/>
      <c r="D21" s="350" t="s">
        <v>138</v>
      </c>
      <c r="E21" s="385">
        <v>5</v>
      </c>
      <c r="F21" s="369">
        <v>0.20833333333333334</v>
      </c>
      <c r="G21" s="351"/>
      <c r="H21" s="385">
        <v>3</v>
      </c>
      <c r="I21" s="369">
        <v>0.15</v>
      </c>
      <c r="J21" s="351"/>
      <c r="K21" s="385">
        <v>2</v>
      </c>
      <c r="L21" s="369">
        <v>8.6956521739130432E-2</v>
      </c>
      <c r="M21" s="351"/>
      <c r="N21" s="385">
        <v>2</v>
      </c>
      <c r="O21" s="369">
        <f t="shared" ref="O21:O26" ca="1" si="36">N21/$N$27</f>
        <v>9.0909090909090912E-2</v>
      </c>
      <c r="P21" s="369"/>
      <c r="Q21" s="385">
        <v>1</v>
      </c>
      <c r="R21" s="369">
        <f t="shared" ref="R21:R26" ca="1" si="37">Q21/$Q$27</f>
        <v>4.3478260869565216E-2</v>
      </c>
      <c r="S21" s="369"/>
      <c r="T21" s="293">
        <v>1</v>
      </c>
      <c r="U21" s="369">
        <f t="shared" ref="U21:U26" ca="1" si="38">T21/$T$27</f>
        <v>5.2631578947368418E-2</v>
      </c>
      <c r="V21" s="369"/>
      <c r="W21" s="385">
        <v>1</v>
      </c>
      <c r="X21" s="394">
        <f t="shared" ref="X21:X26" ca="1" si="39">W21/$W$27</f>
        <v>5.2631578947368418E-2</v>
      </c>
      <c r="Y21" s="369"/>
      <c r="Z21" s="385">
        <v>2</v>
      </c>
      <c r="AA21" s="394">
        <f t="shared" ref="AA21:AA26" ca="1" si="40">Z21/Z$27</f>
        <v>0.10526315789473684</v>
      </c>
      <c r="AB21" s="369"/>
      <c r="AC21" s="385">
        <f ca="1">Credit_2010Q4!$AD19</f>
        <v>1</v>
      </c>
      <c r="AD21" s="394">
        <f t="shared" ref="AD21:AD26" ca="1" si="41">AC21/AC$27</f>
        <v>0.05</v>
      </c>
      <c r="AE21" s="369"/>
      <c r="AF21" s="385">
        <f ca="1">Credit_2011Q4!$AD19</f>
        <v>1</v>
      </c>
      <c r="AG21" s="394">
        <f t="shared" ref="AG21:AG26" ca="1" si="42">AF21/AF$27</f>
        <v>5.2631578947368418E-2</v>
      </c>
      <c r="AH21" s="369"/>
      <c r="AI21" s="293">
        <f t="shared" ref="AI21:AI26" ca="1" si="43">INDIRECT( BM21 &amp; $BK21 )</f>
        <v>1</v>
      </c>
      <c r="AJ21" s="394">
        <f t="shared" ref="AJ21:AJ26" ca="1" si="44">AI21/AI$27</f>
        <v>5.8823529411764705E-2</v>
      </c>
      <c r="AK21" s="369"/>
      <c r="AL21" s="293">
        <f t="shared" ref="AL21:AL26" ca="1" si="45">INDIRECT( BO21 &amp; $BK21 )</f>
        <v>1</v>
      </c>
      <c r="AM21" s="394">
        <f t="shared" ref="AM21:AM26" ca="1" si="46">AL21/AL$27</f>
        <v>5.8823529411764705E-2</v>
      </c>
      <c r="AN21" s="369"/>
      <c r="AO21" s="293">
        <f ca="1">INDIRECT( BQ21 &amp; $BK21 )</f>
        <v>1</v>
      </c>
      <c r="AP21" s="394">
        <f t="shared" ref="AP21:AP26" ca="1" si="47">AO21/AO$27</f>
        <v>7.6923076923076927E-2</v>
      </c>
      <c r="AQ21" s="369"/>
      <c r="AR21" s="293">
        <f t="shared" ref="AR21:AR26" ca="1" si="48">INDIRECT( BS21 &amp; $BK21 )</f>
        <v>1</v>
      </c>
      <c r="AS21" s="394">
        <f t="shared" ref="AS21:AS26" ca="1" si="49">AR21/AR$27</f>
        <v>7.6923076923076927E-2</v>
      </c>
      <c r="AT21" s="369"/>
      <c r="AU21" s="293">
        <f t="shared" ref="AU21:AU26" ca="1" si="50">INDIRECT( BU21 &amp; $BK21 )</f>
        <v>1</v>
      </c>
      <c r="AV21" s="394">
        <f t="shared" ref="AV21:AV26" ca="1" si="51">AU21/AU$27</f>
        <v>8.3333333333333329E-2</v>
      </c>
      <c r="AW21" s="369"/>
      <c r="AX21" s="293">
        <f t="shared" ref="AX21:AX26" ca="1" si="52">INDIRECT( BW21 &amp; $BK21 )</f>
        <v>1</v>
      </c>
      <c r="AY21" s="394">
        <f t="shared" ref="AY21:AY26" ca="1" si="53">AX21/AX$27</f>
        <v>7.1428571428571425E-2</v>
      </c>
      <c r="AZ21" s="369"/>
      <c r="BA21" s="293">
        <f t="shared" ca="1" si="30"/>
        <v>2</v>
      </c>
      <c r="BB21" s="394">
        <f t="shared" ref="BB21:BB26" ca="1" si="54">BA21/BA$27</f>
        <v>0.15384615384615385</v>
      </c>
      <c r="BC21" s="369"/>
      <c r="BD21" s="293">
        <f t="shared" ref="BD21:BD26" ca="1" si="55">INDIRECT( CA21 &amp; $BK21 )</f>
        <v>1</v>
      </c>
      <c r="BE21" s="394">
        <f t="shared" ref="BE21:BE26" ca="1" si="56">BD21/BD$27</f>
        <v>0.1</v>
      </c>
      <c r="BF21" s="369"/>
      <c r="BG21" s="386">
        <f t="shared" ref="BG21:BG26" ca="1" si="57">INDIRECT( CC21 &amp; $BK21 )</f>
        <v>1</v>
      </c>
      <c r="BH21" s="398">
        <f t="shared" ref="BH21:BH26" ca="1" si="58">BG21/BG$27</f>
        <v>0.1</v>
      </c>
      <c r="BK21" s="258">
        <f ca="1">BK11</f>
        <v>8</v>
      </c>
      <c r="BL21" s="353" t="s">
        <v>489</v>
      </c>
      <c r="BM21" s="258" t="str">
        <f t="shared" ref="BM21:BM26" ca="1" si="59">BM$5 &amp; "!" &amp;$BL21</f>
        <v>'Credit_2012Q4'!r</v>
      </c>
      <c r="BO21" s="258" t="str">
        <f t="shared" ref="BO21:BO26" ca="1" si="60">BO$5 &amp; "!" &amp;$BL21</f>
        <v>'Credit_2013Q4'!r</v>
      </c>
      <c r="BQ21" s="258" t="str">
        <f t="shared" ref="BQ21:CC26" ca="1" si="61">BQ$5 &amp; "!" &amp;$BL21</f>
        <v>'Credit_2014Q4'!r</v>
      </c>
      <c r="BS21" s="258" t="str">
        <f t="shared" ca="1" si="61"/>
        <v>'Credit_2015Q4'!r</v>
      </c>
      <c r="BU21" s="258" t="str">
        <f t="shared" ca="1" si="61"/>
        <v>'Credit_2016Q4'!r</v>
      </c>
      <c r="BW21" s="258" t="str">
        <f t="shared" ca="1" si="61"/>
        <v>'Credit_2017Q4'!r</v>
      </c>
      <c r="BY21" s="258" t="str">
        <f t="shared" ca="1" si="61"/>
        <v>'Credit_2018Q4'!r</v>
      </c>
      <c r="CA21" s="258" t="str">
        <f t="shared" ca="1" si="61"/>
        <v>'Credit_2019Q4'!r</v>
      </c>
      <c r="CC21" s="258" t="str">
        <f t="shared" ca="1" si="61"/>
        <v>'Credit_2020Q1'!r</v>
      </c>
    </row>
    <row r="22" spans="3:81" x14ac:dyDescent="0.25">
      <c r="C22" s="354"/>
      <c r="D22" s="354" t="s">
        <v>10</v>
      </c>
      <c r="E22" s="295">
        <v>3</v>
      </c>
      <c r="F22" s="395">
        <v>0.125</v>
      </c>
      <c r="G22" s="438"/>
      <c r="H22" s="295">
        <v>2</v>
      </c>
      <c r="I22" s="395">
        <v>0.1</v>
      </c>
      <c r="J22" s="355"/>
      <c r="K22" s="295">
        <v>1</v>
      </c>
      <c r="L22" s="395">
        <v>4.3478260869565216E-2</v>
      </c>
      <c r="M22" s="438"/>
      <c r="N22" s="295">
        <v>0</v>
      </c>
      <c r="O22" s="395">
        <f t="shared" ca="1" si="36"/>
        <v>0</v>
      </c>
      <c r="P22" s="395"/>
      <c r="Q22" s="387">
        <v>2</v>
      </c>
      <c r="R22" s="370">
        <f t="shared" ca="1" si="37"/>
        <v>8.6956521739130432E-2</v>
      </c>
      <c r="S22" s="395"/>
      <c r="T22" s="295">
        <v>3</v>
      </c>
      <c r="U22" s="370">
        <f t="shared" ca="1" si="38"/>
        <v>0.15789473684210525</v>
      </c>
      <c r="V22" s="395"/>
      <c r="W22" s="387">
        <v>5</v>
      </c>
      <c r="X22" s="395">
        <f t="shared" ca="1" si="39"/>
        <v>0.26315789473684209</v>
      </c>
      <c r="Y22" s="395"/>
      <c r="Z22" s="387">
        <v>2</v>
      </c>
      <c r="AA22" s="395">
        <f t="shared" ca="1" si="40"/>
        <v>0.10526315789473684</v>
      </c>
      <c r="AB22" s="395"/>
      <c r="AC22" s="387">
        <f ca="1">Credit_2010Q4!$AD20</f>
        <v>3</v>
      </c>
      <c r="AD22" s="395">
        <f t="shared" ca="1" si="41"/>
        <v>0.15</v>
      </c>
      <c r="AE22" s="395"/>
      <c r="AF22" s="387">
        <f ca="1">Credit_2011Q4!$AD20</f>
        <v>3</v>
      </c>
      <c r="AG22" s="395">
        <f t="shared" ca="1" si="42"/>
        <v>0.15789473684210525</v>
      </c>
      <c r="AH22" s="395"/>
      <c r="AI22" s="295">
        <f t="shared" ca="1" si="43"/>
        <v>2</v>
      </c>
      <c r="AJ22" s="395">
        <f t="shared" ca="1" si="44"/>
        <v>0.11764705882352941</v>
      </c>
      <c r="AK22" s="395"/>
      <c r="AL22" s="295">
        <f t="shared" ca="1" si="45"/>
        <v>5</v>
      </c>
      <c r="AM22" s="395">
        <f t="shared" ca="1" si="46"/>
        <v>0.29411764705882354</v>
      </c>
      <c r="AN22" s="395"/>
      <c r="AO22" s="295">
        <f t="shared" ref="AO22:AO26" ca="1" si="62">INDIRECT( BQ22 &amp; $BK22 )</f>
        <v>4</v>
      </c>
      <c r="AP22" s="395">
        <f t="shared" ca="1" si="47"/>
        <v>0.30769230769230771</v>
      </c>
      <c r="AQ22" s="395"/>
      <c r="AR22" s="295">
        <f t="shared" ca="1" si="48"/>
        <v>5</v>
      </c>
      <c r="AS22" s="395">
        <f t="shared" ca="1" si="49"/>
        <v>0.38461538461538464</v>
      </c>
      <c r="AT22" s="395"/>
      <c r="AU22" s="295">
        <f t="shared" ca="1" si="50"/>
        <v>2</v>
      </c>
      <c r="AV22" s="395">
        <f t="shared" ca="1" si="51"/>
        <v>0.16666666666666666</v>
      </c>
      <c r="AW22" s="395"/>
      <c r="AX22" s="295">
        <f t="shared" ca="1" si="52"/>
        <v>2</v>
      </c>
      <c r="AY22" s="395">
        <f t="shared" ca="1" si="53"/>
        <v>0.14285714285714285</v>
      </c>
      <c r="AZ22" s="395"/>
      <c r="BA22" s="295">
        <f t="shared" ca="1" si="30"/>
        <v>2</v>
      </c>
      <c r="BB22" s="395">
        <f t="shared" ca="1" si="54"/>
        <v>0.15384615384615385</v>
      </c>
      <c r="BC22" s="395"/>
      <c r="BD22" s="295">
        <f t="shared" ca="1" si="55"/>
        <v>1</v>
      </c>
      <c r="BE22" s="395">
        <f t="shared" ca="1" si="56"/>
        <v>0.1</v>
      </c>
      <c r="BF22" s="395"/>
      <c r="BG22" s="388">
        <f t="shared" ca="1" si="57"/>
        <v>1</v>
      </c>
      <c r="BH22" s="399">
        <f t="shared" ca="1" si="58"/>
        <v>0.1</v>
      </c>
      <c r="BK22" s="258">
        <f t="shared" ref="BK22:BK26" ca="1" si="63">BK12</f>
        <v>9</v>
      </c>
      <c r="BL22" s="255" t="str">
        <f ca="1">BL21</f>
        <v>r</v>
      </c>
      <c r="BM22" s="258" t="str">
        <f t="shared" ca="1" si="59"/>
        <v>'Credit_2012Q4'!r</v>
      </c>
      <c r="BO22" s="258" t="str">
        <f t="shared" ca="1" si="60"/>
        <v>'Credit_2013Q4'!r</v>
      </c>
      <c r="BQ22" s="258" t="str">
        <f t="shared" ca="1" si="61"/>
        <v>'Credit_2014Q4'!r</v>
      </c>
      <c r="BS22" s="258" t="str">
        <f t="shared" ca="1" si="61"/>
        <v>'Credit_2015Q4'!r</v>
      </c>
      <c r="BU22" s="258" t="str">
        <f t="shared" ca="1" si="61"/>
        <v>'Credit_2016Q4'!r</v>
      </c>
      <c r="BW22" s="258" t="str">
        <f t="shared" ca="1" si="61"/>
        <v>'Credit_2017Q4'!r</v>
      </c>
      <c r="BY22" s="258" t="str">
        <f t="shared" ca="1" si="61"/>
        <v>'Credit_2018Q4'!r</v>
      </c>
      <c r="CA22" s="258" t="str">
        <f t="shared" ca="1" si="61"/>
        <v>'Credit_2019Q4'!r</v>
      </c>
      <c r="CC22" s="258" t="str">
        <f t="shared" ca="1" si="61"/>
        <v>'Credit_2020Q1'!r</v>
      </c>
    </row>
    <row r="23" spans="3:81" x14ac:dyDescent="0.25">
      <c r="C23" s="354"/>
      <c r="D23" s="354" t="s">
        <v>16</v>
      </c>
      <c r="E23" s="295">
        <v>6</v>
      </c>
      <c r="F23" s="395">
        <v>0.25</v>
      </c>
      <c r="G23" s="438"/>
      <c r="H23" s="295">
        <v>5</v>
      </c>
      <c r="I23" s="395">
        <v>0.25</v>
      </c>
      <c r="J23" s="355"/>
      <c r="K23" s="295">
        <v>6</v>
      </c>
      <c r="L23" s="395">
        <v>0.2608695652173913</v>
      </c>
      <c r="M23" s="438"/>
      <c r="N23" s="295">
        <v>6</v>
      </c>
      <c r="O23" s="395">
        <f t="shared" ca="1" si="36"/>
        <v>0.27272727272727271</v>
      </c>
      <c r="P23" s="395"/>
      <c r="Q23" s="387">
        <v>3</v>
      </c>
      <c r="R23" s="370">
        <f t="shared" ca="1" si="37"/>
        <v>0.13043478260869565</v>
      </c>
      <c r="S23" s="395"/>
      <c r="T23" s="295">
        <v>4</v>
      </c>
      <c r="U23" s="370">
        <f t="shared" ca="1" si="38"/>
        <v>0.21052631578947367</v>
      </c>
      <c r="V23" s="395"/>
      <c r="W23" s="387">
        <v>2</v>
      </c>
      <c r="X23" s="395">
        <f t="shared" ca="1" si="39"/>
        <v>0.10526315789473684</v>
      </c>
      <c r="Y23" s="395"/>
      <c r="Z23" s="387">
        <v>5</v>
      </c>
      <c r="AA23" s="395">
        <f t="shared" ca="1" si="40"/>
        <v>0.26315789473684209</v>
      </c>
      <c r="AB23" s="395"/>
      <c r="AC23" s="387">
        <f ca="1">Credit_2010Q4!$AD21</f>
        <v>6</v>
      </c>
      <c r="AD23" s="395">
        <f t="shared" ca="1" si="41"/>
        <v>0.3</v>
      </c>
      <c r="AE23" s="395"/>
      <c r="AF23" s="387">
        <f ca="1">Credit_2011Q4!$AD21</f>
        <v>6</v>
      </c>
      <c r="AG23" s="395">
        <f t="shared" ca="1" si="42"/>
        <v>0.31578947368421051</v>
      </c>
      <c r="AH23" s="395"/>
      <c r="AI23" s="295">
        <f t="shared" ca="1" si="43"/>
        <v>7</v>
      </c>
      <c r="AJ23" s="395">
        <f t="shared" ca="1" si="44"/>
        <v>0.41176470588235292</v>
      </c>
      <c r="AK23" s="395"/>
      <c r="AL23" s="295">
        <f t="shared" ca="1" si="45"/>
        <v>5</v>
      </c>
      <c r="AM23" s="395">
        <f t="shared" ca="1" si="46"/>
        <v>0.29411764705882354</v>
      </c>
      <c r="AN23" s="395"/>
      <c r="AO23" s="295">
        <f t="shared" ca="1" si="62"/>
        <v>4</v>
      </c>
      <c r="AP23" s="395">
        <f t="shared" ca="1" si="47"/>
        <v>0.30769230769230771</v>
      </c>
      <c r="AQ23" s="395"/>
      <c r="AR23" s="295">
        <f t="shared" ca="1" si="48"/>
        <v>5</v>
      </c>
      <c r="AS23" s="395">
        <f t="shared" ca="1" si="49"/>
        <v>0.38461538461538464</v>
      </c>
      <c r="AT23" s="395"/>
      <c r="AU23" s="295">
        <f t="shared" ca="1" si="50"/>
        <v>7</v>
      </c>
      <c r="AV23" s="395">
        <f t="shared" ca="1" si="51"/>
        <v>0.58333333333333337</v>
      </c>
      <c r="AW23" s="395"/>
      <c r="AX23" s="295">
        <f t="shared" ca="1" si="52"/>
        <v>7</v>
      </c>
      <c r="AY23" s="395">
        <f t="shared" ca="1" si="53"/>
        <v>0.5</v>
      </c>
      <c r="AZ23" s="395"/>
      <c r="BA23" s="295">
        <f t="shared" ca="1" si="30"/>
        <v>7</v>
      </c>
      <c r="BB23" s="395">
        <f t="shared" ca="1" si="54"/>
        <v>0.53846153846153844</v>
      </c>
      <c r="BC23" s="395"/>
      <c r="BD23" s="295">
        <f t="shared" ca="1" si="55"/>
        <v>7</v>
      </c>
      <c r="BE23" s="395">
        <f t="shared" ca="1" si="56"/>
        <v>0.7</v>
      </c>
      <c r="BF23" s="395"/>
      <c r="BG23" s="388">
        <f t="shared" ca="1" si="57"/>
        <v>7</v>
      </c>
      <c r="BH23" s="399">
        <f t="shared" ca="1" si="58"/>
        <v>0.7</v>
      </c>
      <c r="BK23" s="258">
        <f t="shared" ca="1" si="63"/>
        <v>10</v>
      </c>
      <c r="BL23" s="255" t="str">
        <f t="shared" ref="BL23:BL26" ca="1" si="64">BL22</f>
        <v>r</v>
      </c>
      <c r="BM23" s="258" t="str">
        <f t="shared" ca="1" si="59"/>
        <v>'Credit_2012Q4'!r</v>
      </c>
      <c r="BO23" s="258" t="str">
        <f t="shared" ca="1" si="60"/>
        <v>'Credit_2013Q4'!r</v>
      </c>
      <c r="BQ23" s="258" t="str">
        <f t="shared" ca="1" si="61"/>
        <v>'Credit_2014Q4'!r</v>
      </c>
      <c r="BS23" s="258" t="str">
        <f t="shared" ca="1" si="61"/>
        <v>'Credit_2015Q4'!r</v>
      </c>
      <c r="BU23" s="258" t="str">
        <f t="shared" ca="1" si="61"/>
        <v>'Credit_2016Q4'!r</v>
      </c>
      <c r="BW23" s="258" t="str">
        <f t="shared" ca="1" si="61"/>
        <v>'Credit_2017Q4'!r</v>
      </c>
      <c r="BY23" s="258" t="str">
        <f t="shared" ca="1" si="61"/>
        <v>'Credit_2018Q4'!r</v>
      </c>
      <c r="CA23" s="258" t="str">
        <f t="shared" ca="1" si="61"/>
        <v>'Credit_2019Q4'!r</v>
      </c>
      <c r="CC23" s="258" t="str">
        <f t="shared" ca="1" si="61"/>
        <v>'Credit_2020Q1'!r</v>
      </c>
    </row>
    <row r="24" spans="3:81" x14ac:dyDescent="0.25">
      <c r="C24" s="354"/>
      <c r="D24" s="354" t="s">
        <v>28</v>
      </c>
      <c r="E24" s="387">
        <v>4</v>
      </c>
      <c r="F24" s="395">
        <v>0.16666666666666666</v>
      </c>
      <c r="G24" s="438"/>
      <c r="H24" s="387">
        <v>4</v>
      </c>
      <c r="I24" s="395">
        <v>0.2</v>
      </c>
      <c r="J24" s="355"/>
      <c r="K24" s="387">
        <v>7</v>
      </c>
      <c r="L24" s="395">
        <v>0.30434782608695654</v>
      </c>
      <c r="M24" s="438"/>
      <c r="N24" s="387">
        <v>9</v>
      </c>
      <c r="O24" s="395">
        <f t="shared" ca="1" si="36"/>
        <v>0.40909090909090912</v>
      </c>
      <c r="P24" s="395"/>
      <c r="Q24" s="387">
        <v>11</v>
      </c>
      <c r="R24" s="370">
        <f t="shared" ca="1" si="37"/>
        <v>0.47826086956521741</v>
      </c>
      <c r="S24" s="395"/>
      <c r="T24" s="387">
        <v>6</v>
      </c>
      <c r="U24" s="370">
        <f t="shared" ca="1" si="38"/>
        <v>0.31578947368421051</v>
      </c>
      <c r="V24" s="395"/>
      <c r="W24" s="387">
        <v>8</v>
      </c>
      <c r="X24" s="395">
        <f t="shared" ca="1" si="39"/>
        <v>0.42105263157894735</v>
      </c>
      <c r="Y24" s="395"/>
      <c r="Z24" s="387">
        <v>6</v>
      </c>
      <c r="AA24" s="395">
        <f t="shared" ca="1" si="40"/>
        <v>0.31578947368421051</v>
      </c>
      <c r="AB24" s="395"/>
      <c r="AC24" s="387">
        <f ca="1">Credit_2010Q4!$AD22</f>
        <v>4</v>
      </c>
      <c r="AD24" s="395">
        <f t="shared" ca="1" si="41"/>
        <v>0.2</v>
      </c>
      <c r="AE24" s="395"/>
      <c r="AF24" s="387">
        <f ca="1">Credit_2011Q4!$AD22</f>
        <v>3</v>
      </c>
      <c r="AG24" s="395">
        <f t="shared" ca="1" si="42"/>
        <v>0.15789473684210525</v>
      </c>
      <c r="AH24" s="395"/>
      <c r="AI24" s="387">
        <f t="shared" ca="1" si="43"/>
        <v>3</v>
      </c>
      <c r="AJ24" s="395">
        <f t="shared" ca="1" si="44"/>
        <v>0.17647058823529413</v>
      </c>
      <c r="AK24" s="395"/>
      <c r="AL24" s="387">
        <f t="shared" ca="1" si="45"/>
        <v>3</v>
      </c>
      <c r="AM24" s="395">
        <f t="shared" ca="1" si="46"/>
        <v>0.17647058823529413</v>
      </c>
      <c r="AN24" s="395"/>
      <c r="AO24" s="387">
        <f t="shared" ca="1" si="62"/>
        <v>2</v>
      </c>
      <c r="AP24" s="395">
        <f t="shared" ca="1" si="47"/>
        <v>0.15384615384615385</v>
      </c>
      <c r="AQ24" s="395"/>
      <c r="AR24" s="387">
        <f t="shared" ca="1" si="48"/>
        <v>1</v>
      </c>
      <c r="AS24" s="395">
        <f t="shared" ca="1" si="49"/>
        <v>7.6923076923076927E-2</v>
      </c>
      <c r="AT24" s="395"/>
      <c r="AU24" s="387">
        <f t="shared" ca="1" si="50"/>
        <v>0</v>
      </c>
      <c r="AV24" s="395">
        <f t="shared" ca="1" si="51"/>
        <v>0</v>
      </c>
      <c r="AW24" s="395"/>
      <c r="AX24" s="387">
        <f t="shared" ca="1" si="52"/>
        <v>2</v>
      </c>
      <c r="AY24" s="395">
        <f t="shared" ca="1" si="53"/>
        <v>0.14285714285714285</v>
      </c>
      <c r="AZ24" s="395"/>
      <c r="BA24" s="387">
        <f t="shared" ca="1" si="30"/>
        <v>1</v>
      </c>
      <c r="BB24" s="395">
        <f t="shared" ca="1" si="54"/>
        <v>7.6923076923076927E-2</v>
      </c>
      <c r="BC24" s="395"/>
      <c r="BD24" s="387">
        <f t="shared" ca="1" si="55"/>
        <v>0</v>
      </c>
      <c r="BE24" s="395">
        <f t="shared" ca="1" si="56"/>
        <v>0</v>
      </c>
      <c r="BF24" s="395"/>
      <c r="BG24" s="388">
        <f t="shared" ca="1" si="57"/>
        <v>0</v>
      </c>
      <c r="BH24" s="399">
        <f t="shared" ca="1" si="58"/>
        <v>0</v>
      </c>
      <c r="BK24" s="258">
        <f t="shared" ca="1" si="63"/>
        <v>11</v>
      </c>
      <c r="BL24" s="255" t="str">
        <f t="shared" ca="1" si="64"/>
        <v>r</v>
      </c>
      <c r="BM24" s="258" t="str">
        <f t="shared" ca="1" si="59"/>
        <v>'Credit_2012Q4'!r</v>
      </c>
      <c r="BO24" s="258" t="str">
        <f t="shared" ca="1" si="60"/>
        <v>'Credit_2013Q4'!r</v>
      </c>
      <c r="BQ24" s="258" t="str">
        <f t="shared" ca="1" si="61"/>
        <v>'Credit_2014Q4'!r</v>
      </c>
      <c r="BS24" s="258" t="str">
        <f t="shared" ca="1" si="61"/>
        <v>'Credit_2015Q4'!r</v>
      </c>
      <c r="BU24" s="258" t="str">
        <f t="shared" ca="1" si="61"/>
        <v>'Credit_2016Q4'!r</v>
      </c>
      <c r="BW24" s="258" t="str">
        <f t="shared" ca="1" si="61"/>
        <v>'Credit_2017Q4'!r</v>
      </c>
      <c r="BY24" s="258" t="str">
        <f t="shared" ca="1" si="61"/>
        <v>'Credit_2018Q4'!r</v>
      </c>
      <c r="CA24" s="258" t="str">
        <f t="shared" ca="1" si="61"/>
        <v>'Credit_2019Q4'!r</v>
      </c>
      <c r="CC24" s="258" t="str">
        <f t="shared" ca="1" si="61"/>
        <v>'Credit_2020Q1'!r</v>
      </c>
    </row>
    <row r="25" spans="3:81" x14ac:dyDescent="0.25">
      <c r="C25" s="354"/>
      <c r="D25" s="354" t="s">
        <v>49</v>
      </c>
      <c r="E25" s="387">
        <v>2</v>
      </c>
      <c r="F25" s="395">
        <v>8.3333333333333329E-2</v>
      </c>
      <c r="G25" s="438"/>
      <c r="H25" s="387">
        <v>2</v>
      </c>
      <c r="I25" s="395">
        <v>0.1</v>
      </c>
      <c r="J25" s="355"/>
      <c r="K25" s="387">
        <v>7</v>
      </c>
      <c r="L25" s="395">
        <v>0.30434782608695654</v>
      </c>
      <c r="M25" s="438"/>
      <c r="N25" s="387">
        <v>0</v>
      </c>
      <c r="O25" s="395">
        <f t="shared" ca="1" si="36"/>
        <v>0</v>
      </c>
      <c r="P25" s="395"/>
      <c r="Q25" s="387">
        <v>1</v>
      </c>
      <c r="R25" s="370">
        <f t="shared" ca="1" si="37"/>
        <v>4.3478260869565216E-2</v>
      </c>
      <c r="S25" s="395"/>
      <c r="T25" s="387">
        <v>4</v>
      </c>
      <c r="U25" s="370">
        <f t="shared" ca="1" si="38"/>
        <v>0.21052631578947367</v>
      </c>
      <c r="V25" s="395"/>
      <c r="W25" s="387">
        <v>3</v>
      </c>
      <c r="X25" s="395">
        <f t="shared" ca="1" si="39"/>
        <v>0.15789473684210525</v>
      </c>
      <c r="Y25" s="395"/>
      <c r="Z25" s="387">
        <v>4</v>
      </c>
      <c r="AA25" s="395">
        <f t="shared" ca="1" si="40"/>
        <v>0.21052631578947367</v>
      </c>
      <c r="AB25" s="395"/>
      <c r="AC25" s="387">
        <f ca="1">Credit_2010Q4!$AD23</f>
        <v>6</v>
      </c>
      <c r="AD25" s="395">
        <f t="shared" ca="1" si="41"/>
        <v>0.3</v>
      </c>
      <c r="AE25" s="395"/>
      <c r="AF25" s="387">
        <f ca="1">Credit_2011Q4!$AD23</f>
        <v>6</v>
      </c>
      <c r="AG25" s="395">
        <f t="shared" ca="1" si="42"/>
        <v>0.31578947368421051</v>
      </c>
      <c r="AH25" s="395"/>
      <c r="AI25" s="387">
        <f t="shared" ca="1" si="43"/>
        <v>4</v>
      </c>
      <c r="AJ25" s="395">
        <f t="shared" ca="1" si="44"/>
        <v>0.23529411764705882</v>
      </c>
      <c r="AK25" s="395"/>
      <c r="AL25" s="387">
        <f t="shared" ca="1" si="45"/>
        <v>3</v>
      </c>
      <c r="AM25" s="395">
        <f t="shared" ca="1" si="46"/>
        <v>0.17647058823529413</v>
      </c>
      <c r="AN25" s="395"/>
      <c r="AO25" s="387">
        <f t="shared" ca="1" si="62"/>
        <v>2</v>
      </c>
      <c r="AP25" s="395">
        <f t="shared" ca="1" si="47"/>
        <v>0.15384615384615385</v>
      </c>
      <c r="AQ25" s="395"/>
      <c r="AR25" s="387">
        <f t="shared" ca="1" si="48"/>
        <v>1</v>
      </c>
      <c r="AS25" s="395">
        <f t="shared" ca="1" si="49"/>
        <v>7.6923076923076927E-2</v>
      </c>
      <c r="AT25" s="395"/>
      <c r="AU25" s="387">
        <f t="shared" ca="1" si="50"/>
        <v>1</v>
      </c>
      <c r="AV25" s="395">
        <f t="shared" ca="1" si="51"/>
        <v>8.3333333333333329E-2</v>
      </c>
      <c r="AW25" s="395"/>
      <c r="AX25" s="387">
        <f t="shared" ca="1" si="52"/>
        <v>1</v>
      </c>
      <c r="AY25" s="395">
        <f t="shared" ca="1" si="53"/>
        <v>7.1428571428571425E-2</v>
      </c>
      <c r="AZ25" s="395"/>
      <c r="BA25" s="387">
        <f t="shared" ca="1" si="30"/>
        <v>1</v>
      </c>
      <c r="BB25" s="395">
        <f t="shared" ca="1" si="54"/>
        <v>7.6923076923076927E-2</v>
      </c>
      <c r="BC25" s="395"/>
      <c r="BD25" s="387">
        <f t="shared" ca="1" si="55"/>
        <v>1</v>
      </c>
      <c r="BE25" s="395">
        <f t="shared" ca="1" si="56"/>
        <v>0.1</v>
      </c>
      <c r="BF25" s="395"/>
      <c r="BG25" s="388">
        <f t="shared" ca="1" si="57"/>
        <v>1</v>
      </c>
      <c r="BH25" s="399">
        <f t="shared" ca="1" si="58"/>
        <v>0.1</v>
      </c>
      <c r="BK25" s="258">
        <f t="shared" ca="1" si="63"/>
        <v>12</v>
      </c>
      <c r="BL25" s="255" t="str">
        <f t="shared" ca="1" si="64"/>
        <v>r</v>
      </c>
      <c r="BM25" s="258" t="str">
        <f t="shared" ca="1" si="59"/>
        <v>'Credit_2012Q4'!r</v>
      </c>
      <c r="BO25" s="258" t="str">
        <f t="shared" ca="1" si="60"/>
        <v>'Credit_2013Q4'!r</v>
      </c>
      <c r="BQ25" s="258" t="str">
        <f t="shared" ca="1" si="61"/>
        <v>'Credit_2014Q4'!r</v>
      </c>
      <c r="BS25" s="258" t="str">
        <f t="shared" ca="1" si="61"/>
        <v>'Credit_2015Q4'!r</v>
      </c>
      <c r="BU25" s="258" t="str">
        <f t="shared" ca="1" si="61"/>
        <v>'Credit_2016Q4'!r</v>
      </c>
      <c r="BW25" s="258" t="str">
        <f t="shared" ca="1" si="61"/>
        <v>'Credit_2017Q4'!r</v>
      </c>
      <c r="BY25" s="258" t="str">
        <f t="shared" ca="1" si="61"/>
        <v>'Credit_2018Q4'!r</v>
      </c>
      <c r="CA25" s="258" t="str">
        <f t="shared" ca="1" si="61"/>
        <v>'Credit_2019Q4'!r</v>
      </c>
      <c r="CC25" s="258" t="str">
        <f t="shared" ca="1" si="61"/>
        <v>'Credit_2020Q1'!r</v>
      </c>
    </row>
    <row r="26" spans="3:81" x14ac:dyDescent="0.25">
      <c r="C26" s="356"/>
      <c r="D26" s="356" t="s">
        <v>79</v>
      </c>
      <c r="E26" s="389">
        <v>4</v>
      </c>
      <c r="F26" s="371">
        <v>0.16666666666666666</v>
      </c>
      <c r="G26" s="357"/>
      <c r="H26" s="389">
        <v>4</v>
      </c>
      <c r="I26" s="371">
        <v>0.2</v>
      </c>
      <c r="J26" s="358"/>
      <c r="K26" s="389">
        <v>0</v>
      </c>
      <c r="L26" s="371">
        <v>0</v>
      </c>
      <c r="M26" s="357"/>
      <c r="N26" s="389">
        <v>5</v>
      </c>
      <c r="O26" s="371">
        <f t="shared" ca="1" si="36"/>
        <v>0.22727272727272727</v>
      </c>
      <c r="P26" s="371"/>
      <c r="Q26" s="389">
        <v>5</v>
      </c>
      <c r="R26" s="371">
        <f t="shared" ca="1" si="37"/>
        <v>0.21739130434782608</v>
      </c>
      <c r="S26" s="371"/>
      <c r="T26" s="389">
        <v>1</v>
      </c>
      <c r="U26" s="393">
        <f t="shared" ca="1" si="38"/>
        <v>5.2631578947368418E-2</v>
      </c>
      <c r="V26" s="371"/>
      <c r="W26" s="389">
        <v>0</v>
      </c>
      <c r="X26" s="371">
        <f t="shared" ca="1" si="39"/>
        <v>0</v>
      </c>
      <c r="Y26" s="371"/>
      <c r="Z26" s="389">
        <v>0</v>
      </c>
      <c r="AA26" s="371">
        <f t="shared" ca="1" si="40"/>
        <v>0</v>
      </c>
      <c r="AB26" s="371"/>
      <c r="AC26" s="389">
        <f ca="1">Credit_2010Q4!$AD24</f>
        <v>0</v>
      </c>
      <c r="AD26" s="371">
        <f t="shared" ca="1" si="41"/>
        <v>0</v>
      </c>
      <c r="AE26" s="371"/>
      <c r="AF26" s="389">
        <f ca="1">Credit_2011Q4!$AD24</f>
        <v>0</v>
      </c>
      <c r="AG26" s="371">
        <f t="shared" ca="1" si="42"/>
        <v>0</v>
      </c>
      <c r="AH26" s="371"/>
      <c r="AI26" s="389">
        <f t="shared" ca="1" si="43"/>
        <v>0</v>
      </c>
      <c r="AJ26" s="371">
        <f t="shared" ca="1" si="44"/>
        <v>0</v>
      </c>
      <c r="AK26" s="371"/>
      <c r="AL26" s="389">
        <f t="shared" ca="1" si="45"/>
        <v>0</v>
      </c>
      <c r="AM26" s="371">
        <f t="shared" ca="1" si="46"/>
        <v>0</v>
      </c>
      <c r="AN26" s="371"/>
      <c r="AO26" s="389">
        <f t="shared" ca="1" si="62"/>
        <v>0</v>
      </c>
      <c r="AP26" s="371">
        <f t="shared" ca="1" si="47"/>
        <v>0</v>
      </c>
      <c r="AQ26" s="371"/>
      <c r="AR26" s="389">
        <f t="shared" ca="1" si="48"/>
        <v>0</v>
      </c>
      <c r="AS26" s="371">
        <f t="shared" ca="1" si="49"/>
        <v>0</v>
      </c>
      <c r="AT26" s="371"/>
      <c r="AU26" s="389">
        <f t="shared" ca="1" si="50"/>
        <v>1</v>
      </c>
      <c r="AV26" s="371">
        <f t="shared" ca="1" si="51"/>
        <v>8.3333333333333329E-2</v>
      </c>
      <c r="AW26" s="371"/>
      <c r="AX26" s="389">
        <f t="shared" ca="1" si="52"/>
        <v>1</v>
      </c>
      <c r="AY26" s="371">
        <f t="shared" ca="1" si="53"/>
        <v>7.1428571428571425E-2</v>
      </c>
      <c r="AZ26" s="371"/>
      <c r="BA26" s="389">
        <f t="shared" ca="1" si="30"/>
        <v>0</v>
      </c>
      <c r="BB26" s="371">
        <f t="shared" ca="1" si="54"/>
        <v>0</v>
      </c>
      <c r="BC26" s="371"/>
      <c r="BD26" s="389">
        <f t="shared" ca="1" si="55"/>
        <v>0</v>
      </c>
      <c r="BE26" s="371">
        <f t="shared" ca="1" si="56"/>
        <v>0</v>
      </c>
      <c r="BF26" s="371"/>
      <c r="BG26" s="390">
        <f t="shared" ca="1" si="57"/>
        <v>0</v>
      </c>
      <c r="BH26" s="400">
        <f t="shared" ca="1" si="58"/>
        <v>0</v>
      </c>
      <c r="BK26" s="258">
        <f t="shared" ca="1" si="63"/>
        <v>13</v>
      </c>
      <c r="BL26" s="255" t="str">
        <f t="shared" ca="1" si="64"/>
        <v>r</v>
      </c>
      <c r="BM26" s="258" t="str">
        <f t="shared" ca="1" si="59"/>
        <v>'Credit_2012Q4'!r</v>
      </c>
      <c r="BO26" s="258" t="str">
        <f t="shared" ca="1" si="60"/>
        <v>'Credit_2013Q4'!r</v>
      </c>
      <c r="BQ26" s="258" t="str">
        <f t="shared" ca="1" si="61"/>
        <v>'Credit_2014Q4'!r</v>
      </c>
      <c r="BS26" s="258" t="str">
        <f t="shared" ca="1" si="61"/>
        <v>'Credit_2015Q4'!r</v>
      </c>
      <c r="BU26" s="258" t="str">
        <f t="shared" ca="1" si="61"/>
        <v>'Credit_2016Q4'!r</v>
      </c>
      <c r="BW26" s="258" t="str">
        <f t="shared" ca="1" si="61"/>
        <v>'Credit_2017Q4'!r</v>
      </c>
      <c r="BY26" s="258" t="str">
        <f t="shared" ca="1" si="61"/>
        <v>'Credit_2018Q4'!r</v>
      </c>
      <c r="CA26" s="258" t="str">
        <f t="shared" ca="1" si="61"/>
        <v>'Credit_2019Q4'!r</v>
      </c>
      <c r="CC26" s="258" t="str">
        <f t="shared" ca="1" si="61"/>
        <v>'Credit_2020Q1'!r</v>
      </c>
    </row>
    <row r="27" spans="3:81" s="365" customFormat="1" x14ac:dyDescent="0.25">
      <c r="C27" s="359"/>
      <c r="D27" s="359" t="s">
        <v>80</v>
      </c>
      <c r="E27" s="291">
        <f t="shared" ref="E27:AA27" ca="1" si="65">SUM(E21:E26)</f>
        <v>24</v>
      </c>
      <c r="F27" s="376">
        <f t="shared" ca="1" si="65"/>
        <v>1</v>
      </c>
      <c r="G27" s="366"/>
      <c r="H27" s="291">
        <f t="shared" ca="1" si="65"/>
        <v>20</v>
      </c>
      <c r="I27" s="376">
        <f t="shared" ca="1" si="65"/>
        <v>1</v>
      </c>
      <c r="J27" s="366"/>
      <c r="K27" s="291">
        <f t="shared" ca="1" si="65"/>
        <v>23</v>
      </c>
      <c r="L27" s="376">
        <f t="shared" ca="1" si="65"/>
        <v>1</v>
      </c>
      <c r="M27" s="366"/>
      <c r="N27" s="291">
        <f ca="1">SUM(N21:N26)</f>
        <v>22</v>
      </c>
      <c r="O27" s="376">
        <f ca="1">SUM(O21:O26)</f>
        <v>1</v>
      </c>
      <c r="P27" s="376"/>
      <c r="Q27" s="291">
        <f ca="1">SUM(Q21:Q26)</f>
        <v>23</v>
      </c>
      <c r="R27" s="376">
        <f t="shared" ca="1" si="65"/>
        <v>0.99999999999999989</v>
      </c>
      <c r="S27" s="376"/>
      <c r="T27" s="291">
        <f ca="1">SUM(T21:T26)</f>
        <v>19</v>
      </c>
      <c r="U27" s="376">
        <f t="shared" ca="1" si="65"/>
        <v>1</v>
      </c>
      <c r="V27" s="376"/>
      <c r="W27" s="291">
        <f ca="1">SUM(W21:W26)</f>
        <v>19</v>
      </c>
      <c r="X27" s="376">
        <f t="shared" ca="1" si="65"/>
        <v>1</v>
      </c>
      <c r="Y27" s="376"/>
      <c r="Z27" s="291">
        <f ca="1">SUM(Z21:Z26)</f>
        <v>19</v>
      </c>
      <c r="AA27" s="376">
        <f t="shared" ca="1" si="65"/>
        <v>1</v>
      </c>
      <c r="AB27" s="376"/>
      <c r="AC27" s="291">
        <f t="shared" ref="AC27:AF27" ca="1" si="66">SUM(AC21:AC26)</f>
        <v>20</v>
      </c>
      <c r="AD27" s="376">
        <f t="shared" ca="1" si="66"/>
        <v>1</v>
      </c>
      <c r="AE27" s="376"/>
      <c r="AF27" s="291">
        <f t="shared" ca="1" si="66"/>
        <v>19</v>
      </c>
      <c r="AG27" s="376">
        <f t="shared" ref="AG27" ca="1" si="67">SUM(AG21:AG26)</f>
        <v>0.99999999999999989</v>
      </c>
      <c r="AH27" s="376"/>
      <c r="AI27" s="291">
        <f ca="1">SUM(AI21:AI26)</f>
        <v>17</v>
      </c>
      <c r="AJ27" s="376">
        <f t="shared" ref="AJ27" ca="1" si="68">SUM(AJ21:AJ26)</f>
        <v>1</v>
      </c>
      <c r="AK27" s="376"/>
      <c r="AL27" s="291">
        <f ca="1">SUM(AL21:AL26)</f>
        <v>17</v>
      </c>
      <c r="AM27" s="376">
        <f ca="1">SUM(AM21:AM26)</f>
        <v>1</v>
      </c>
      <c r="AN27" s="376"/>
      <c r="AO27" s="391">
        <f ca="1">SUM(AO21:AO26)</f>
        <v>13</v>
      </c>
      <c r="AP27" s="376">
        <f ca="1">SUM(AP21:AP26)</f>
        <v>1</v>
      </c>
      <c r="AQ27" s="376"/>
      <c r="AR27" s="291">
        <f ca="1">SUM(AR21:AR26)</f>
        <v>13</v>
      </c>
      <c r="AS27" s="376">
        <f ca="1">SUM(AS21:AS26)</f>
        <v>1</v>
      </c>
      <c r="AT27" s="376"/>
      <c r="AU27" s="291">
        <f ca="1">SUM(AU21:AU26)</f>
        <v>12</v>
      </c>
      <c r="AV27" s="376">
        <f ca="1">SUM(AV21:AV26)</f>
        <v>1</v>
      </c>
      <c r="AW27" s="376"/>
      <c r="AX27" s="291">
        <f ca="1">SUM(AX21:AX26)</f>
        <v>14</v>
      </c>
      <c r="AY27" s="376">
        <f ca="1">SUM(AY21:AY26)</f>
        <v>1</v>
      </c>
      <c r="AZ27" s="376"/>
      <c r="BA27" s="391">
        <f ca="1">SUM(BA21:BA26)</f>
        <v>13</v>
      </c>
      <c r="BB27" s="376">
        <f ca="1">SUM(BB21:BB26)</f>
        <v>1</v>
      </c>
      <c r="BC27" s="376"/>
      <c r="BD27" s="391">
        <f ca="1">SUM(BD21:BD26)</f>
        <v>10</v>
      </c>
      <c r="BE27" s="376">
        <f ca="1">SUM(BE21:BE26)</f>
        <v>0.99999999999999989</v>
      </c>
      <c r="BF27" s="376"/>
      <c r="BG27" s="392">
        <f ca="1">SUM(BG21:BG26)</f>
        <v>10</v>
      </c>
      <c r="BH27" s="401">
        <f ca="1">SUM(BH21:BH26)</f>
        <v>0.99999999999999989</v>
      </c>
      <c r="BL27" s="260"/>
    </row>
    <row r="28" spans="3:81" x14ac:dyDescent="0.25">
      <c r="C28" s="361"/>
      <c r="D28" s="361"/>
      <c r="E28" s="255"/>
      <c r="F28" s="375"/>
      <c r="G28" s="364"/>
      <c r="H28" s="255"/>
      <c r="I28" s="375"/>
      <c r="J28" s="364"/>
      <c r="K28" s="255"/>
      <c r="L28" s="375"/>
      <c r="M28" s="364"/>
      <c r="N28" s="255"/>
      <c r="O28" s="375"/>
      <c r="P28" s="375"/>
      <c r="Q28" s="255"/>
      <c r="R28" s="375"/>
      <c r="S28" s="375"/>
      <c r="T28" s="255"/>
      <c r="U28" s="375"/>
      <c r="V28" s="375"/>
      <c r="W28" s="255"/>
      <c r="X28" s="375"/>
      <c r="Y28" s="375"/>
      <c r="Z28" s="255"/>
      <c r="AA28" s="375"/>
      <c r="AB28" s="375"/>
      <c r="AC28" s="255"/>
      <c r="AD28" s="375"/>
      <c r="AE28" s="375"/>
      <c r="AF28" s="255"/>
      <c r="AG28" s="375"/>
      <c r="AH28" s="375"/>
      <c r="AI28" s="255"/>
      <c r="AJ28" s="375"/>
      <c r="AK28" s="375"/>
      <c r="AL28" s="255"/>
      <c r="AM28" s="375"/>
      <c r="AN28" s="375"/>
      <c r="AO28" s="255"/>
      <c r="AP28" s="375"/>
      <c r="AQ28" s="375"/>
      <c r="AR28" s="255"/>
      <c r="AS28" s="375"/>
      <c r="AT28" s="375"/>
      <c r="AU28" s="255"/>
      <c r="AV28" s="375"/>
      <c r="AW28" s="375"/>
      <c r="AX28" s="255"/>
      <c r="AY28" s="375"/>
      <c r="AZ28" s="375"/>
      <c r="BA28" s="255"/>
      <c r="BB28" s="375"/>
      <c r="BC28" s="375"/>
      <c r="BD28" s="255"/>
      <c r="BE28" s="375"/>
      <c r="BF28" s="375"/>
      <c r="BG28" s="379"/>
      <c r="BH28" s="402"/>
    </row>
    <row r="29" spans="3:81" x14ac:dyDescent="0.25">
      <c r="C29" s="361"/>
      <c r="D29" s="361"/>
      <c r="E29" s="255"/>
      <c r="F29" s="375"/>
      <c r="G29" s="364"/>
      <c r="H29" s="255"/>
      <c r="I29" s="375"/>
      <c r="J29" s="364"/>
      <c r="K29" s="255"/>
      <c r="L29" s="375"/>
      <c r="M29" s="364"/>
      <c r="N29" s="255"/>
      <c r="O29" s="375"/>
      <c r="P29" s="375"/>
      <c r="Q29" s="255"/>
      <c r="R29" s="375"/>
      <c r="S29" s="375"/>
      <c r="T29" s="255"/>
      <c r="U29" s="375"/>
      <c r="V29" s="375"/>
      <c r="W29" s="255"/>
      <c r="X29" s="375"/>
      <c r="Y29" s="375"/>
      <c r="Z29" s="255"/>
      <c r="AA29" s="375"/>
      <c r="AB29" s="375"/>
      <c r="AC29" s="255"/>
      <c r="AD29" s="375"/>
      <c r="AE29" s="375"/>
      <c r="AF29" s="255"/>
      <c r="AG29" s="375"/>
      <c r="AH29" s="375"/>
      <c r="AI29" s="255"/>
      <c r="AJ29" s="375"/>
      <c r="AK29" s="375"/>
      <c r="AL29" s="255"/>
      <c r="AM29" s="375"/>
      <c r="AN29" s="375"/>
      <c r="AO29" s="255"/>
      <c r="AP29" s="375"/>
      <c r="AQ29" s="375"/>
      <c r="AR29" s="255"/>
      <c r="AS29" s="375"/>
      <c r="AT29" s="375"/>
      <c r="AU29" s="255"/>
      <c r="AV29" s="375"/>
      <c r="AW29" s="375"/>
      <c r="AX29" s="255"/>
      <c r="AY29" s="375"/>
      <c r="AZ29" s="375"/>
      <c r="BA29" s="255"/>
      <c r="BB29" s="375"/>
      <c r="BC29" s="375"/>
      <c r="BD29" s="255"/>
      <c r="BE29" s="375"/>
      <c r="BF29" s="375"/>
      <c r="BG29" s="379"/>
      <c r="BH29" s="402"/>
    </row>
    <row r="30" spans="3:81" x14ac:dyDescent="0.25">
      <c r="C30" s="348"/>
      <c r="D30" s="348" t="s">
        <v>140</v>
      </c>
      <c r="E30" s="382"/>
      <c r="F30" s="374"/>
      <c r="G30" s="363"/>
      <c r="H30" s="382"/>
      <c r="I30" s="374"/>
      <c r="J30" s="363"/>
      <c r="K30" s="382"/>
      <c r="L30" s="374"/>
      <c r="M30" s="363"/>
      <c r="N30" s="382"/>
      <c r="O30" s="374"/>
      <c r="P30" s="374"/>
      <c r="Q30" s="382"/>
      <c r="R30" s="374"/>
      <c r="S30" s="374"/>
      <c r="T30" s="382"/>
      <c r="U30" s="374"/>
      <c r="V30" s="374"/>
      <c r="W30" s="383"/>
      <c r="X30" s="396"/>
      <c r="Y30" s="374"/>
      <c r="Z30" s="383"/>
      <c r="AA30" s="396"/>
      <c r="AB30" s="374"/>
      <c r="AC30" s="383"/>
      <c r="AD30" s="396"/>
      <c r="AE30" s="374"/>
      <c r="AF30" s="383"/>
      <c r="AG30" s="396"/>
      <c r="AH30" s="374"/>
      <c r="AI30" s="383"/>
      <c r="AJ30" s="396"/>
      <c r="AK30" s="374"/>
      <c r="AL30" s="383"/>
      <c r="AM30" s="396"/>
      <c r="AN30" s="374"/>
      <c r="AO30" s="383"/>
      <c r="AP30" s="396"/>
      <c r="AQ30" s="374"/>
      <c r="AR30" s="383"/>
      <c r="AS30" s="396"/>
      <c r="AT30" s="374"/>
      <c r="AU30" s="383"/>
      <c r="AV30" s="396"/>
      <c r="AW30" s="374"/>
      <c r="AX30" s="383"/>
      <c r="AY30" s="396"/>
      <c r="AZ30" s="374"/>
      <c r="BA30" s="383"/>
      <c r="BB30" s="396"/>
      <c r="BC30" s="374"/>
      <c r="BD30" s="383"/>
      <c r="BE30" s="396"/>
      <c r="BF30" s="374"/>
      <c r="BG30" s="384"/>
      <c r="BH30" s="403"/>
    </row>
    <row r="31" spans="3:81" x14ac:dyDescent="0.25">
      <c r="C31" s="350"/>
      <c r="D31" s="350" t="s">
        <v>138</v>
      </c>
      <c r="E31" s="293">
        <v>2</v>
      </c>
      <c r="F31" s="394">
        <v>0.14285714285714285</v>
      </c>
      <c r="G31" s="439"/>
      <c r="H31" s="293">
        <v>0</v>
      </c>
      <c r="I31" s="394">
        <v>0</v>
      </c>
      <c r="J31" s="440"/>
      <c r="K31" s="293">
        <v>0</v>
      </c>
      <c r="L31" s="394">
        <v>0</v>
      </c>
      <c r="M31" s="439"/>
      <c r="N31" s="293">
        <v>0</v>
      </c>
      <c r="O31" s="394">
        <f t="shared" ref="O31:O36" ca="1" si="69">N31/$N$37</f>
        <v>0</v>
      </c>
      <c r="P31" s="394"/>
      <c r="Q31" s="293">
        <v>1</v>
      </c>
      <c r="R31" s="394">
        <f t="shared" ref="R31:R36" ca="1" si="70">Q31/$Q$37</f>
        <v>9.0909090909090912E-2</v>
      </c>
      <c r="S31" s="394"/>
      <c r="T31" s="293">
        <v>0</v>
      </c>
      <c r="U31" s="369">
        <f t="shared" ref="U31:U36" ca="1" si="71">T31/$T$37</f>
        <v>0</v>
      </c>
      <c r="V31" s="394"/>
      <c r="W31" s="385">
        <v>0</v>
      </c>
      <c r="X31" s="394">
        <f t="shared" ref="X31:X36" ca="1" si="72">W31/$W$37</f>
        <v>0</v>
      </c>
      <c r="Y31" s="394"/>
      <c r="Z31" s="385">
        <v>0</v>
      </c>
      <c r="AA31" s="394">
        <f t="shared" ref="AA31:AA36" ca="1" si="73">Z31/Z$37</f>
        <v>0</v>
      </c>
      <c r="AB31" s="394"/>
      <c r="AC31" s="385">
        <f ca="1">Credit_2010Q4!$AD30</f>
        <v>0</v>
      </c>
      <c r="AD31" s="394">
        <f t="shared" ref="AD31:AD36" ca="1" si="74">AC31/AC$37</f>
        <v>0</v>
      </c>
      <c r="AE31" s="394"/>
      <c r="AF31" s="385">
        <f ca="1">Credit_2011Q4!$AD30</f>
        <v>0</v>
      </c>
      <c r="AG31" s="394">
        <f t="shared" ref="AG31:AG36" ca="1" si="75">AF31/AF$37</f>
        <v>0</v>
      </c>
      <c r="AH31" s="394"/>
      <c r="AI31" s="293">
        <f t="shared" ref="AI31:AI36" ca="1" si="76">INDIRECT( BM31 &amp; $BK31 )</f>
        <v>0</v>
      </c>
      <c r="AJ31" s="394">
        <f t="shared" ref="AJ31:AJ36" ca="1" si="77">AI31/AI$37</f>
        <v>0</v>
      </c>
      <c r="AK31" s="394"/>
      <c r="AL31" s="293">
        <f t="shared" ref="AL31:AL36" ca="1" si="78">INDIRECT( BO31 &amp; $BK31 )</f>
        <v>0</v>
      </c>
      <c r="AM31" s="394">
        <f t="shared" ref="AM31:AM36" ca="1" si="79">AL31/AL$37</f>
        <v>0</v>
      </c>
      <c r="AN31" s="394"/>
      <c r="AO31" s="293">
        <f ca="1">INDIRECT( BQ31 &amp; $BK31 )</f>
        <v>0</v>
      </c>
      <c r="AP31" s="394">
        <f t="shared" ref="AP31:AP36" ca="1" si="80">AO31/AO$37</f>
        <v>0</v>
      </c>
      <c r="AQ31" s="394"/>
      <c r="AR31" s="293">
        <f t="shared" ref="AR31:AR36" ca="1" si="81">INDIRECT( BS31 &amp; $BK31 )</f>
        <v>0</v>
      </c>
      <c r="AS31" s="394">
        <f t="shared" ref="AS31:AS36" ca="1" si="82">AR31/AR$37</f>
        <v>0</v>
      </c>
      <c r="AT31" s="394"/>
      <c r="AU31" s="293">
        <f t="shared" ref="AU31:AU36" ca="1" si="83">INDIRECT( BU31 &amp; $BK31 )</f>
        <v>0</v>
      </c>
      <c r="AV31" s="394">
        <f t="shared" ref="AV31:AV36" ca="1" si="84">AU31/AU$37</f>
        <v>0</v>
      </c>
      <c r="AW31" s="394"/>
      <c r="AX31" s="293"/>
      <c r="AY31" s="394"/>
      <c r="AZ31" s="394"/>
      <c r="BA31" s="293"/>
      <c r="BB31" s="394"/>
      <c r="BC31" s="394"/>
      <c r="BD31" s="293"/>
      <c r="BE31" s="394"/>
      <c r="BF31" s="394"/>
      <c r="BG31" s="386"/>
      <c r="BH31" s="456"/>
      <c r="BK31" s="258">
        <f ca="1">BK21</f>
        <v>8</v>
      </c>
      <c r="BL31" s="353" t="s">
        <v>490</v>
      </c>
      <c r="BM31" s="258" t="str">
        <f t="shared" ref="BM31:BM36" ca="1" si="85">BM$5 &amp; "!" &amp;$BL31</f>
        <v>'Credit_2012Q4'!u</v>
      </c>
      <c r="BO31" s="258" t="str">
        <f t="shared" ref="BO31:BO36" ca="1" si="86">BO$5 &amp; "!" &amp;$BL31</f>
        <v>'Credit_2013Q4'!u</v>
      </c>
      <c r="BQ31" s="258" t="str">
        <f t="shared" ref="BQ31:CC36" ca="1" si="87">BQ$5 &amp; "!" &amp;$BL31</f>
        <v>'Credit_2014Q4'!u</v>
      </c>
      <c r="BS31" s="258" t="str">
        <f t="shared" ca="1" si="87"/>
        <v>'Credit_2015Q4'!u</v>
      </c>
      <c r="BU31" s="258" t="str">
        <f t="shared" ca="1" si="87"/>
        <v>'Credit_2016Q4'!u</v>
      </c>
      <c r="BW31" s="258" t="str">
        <f t="shared" ca="1" si="87"/>
        <v>'Credit_2017Q4'!u</v>
      </c>
      <c r="BY31" s="258" t="str">
        <f t="shared" ca="1" si="87"/>
        <v>'Credit_2018Q4'!u</v>
      </c>
      <c r="CA31" s="258" t="str">
        <f t="shared" ca="1" si="87"/>
        <v>'Credit_2019Q4'!u</v>
      </c>
      <c r="CC31" s="258" t="str">
        <f t="shared" ca="1" si="87"/>
        <v>'Credit_2020Q1'!u</v>
      </c>
    </row>
    <row r="32" spans="3:81" x14ac:dyDescent="0.25">
      <c r="C32" s="354"/>
      <c r="D32" s="354" t="s">
        <v>10</v>
      </c>
      <c r="E32" s="295">
        <v>1</v>
      </c>
      <c r="F32" s="395">
        <v>7.1428571428571425E-2</v>
      </c>
      <c r="G32" s="438"/>
      <c r="H32" s="295">
        <v>2</v>
      </c>
      <c r="I32" s="395">
        <v>0.13333333333333333</v>
      </c>
      <c r="J32" s="434"/>
      <c r="K32" s="295">
        <v>1</v>
      </c>
      <c r="L32" s="395">
        <v>9.0909090909090912E-2</v>
      </c>
      <c r="M32" s="438"/>
      <c r="N32" s="295">
        <v>1</v>
      </c>
      <c r="O32" s="395">
        <f t="shared" ca="1" si="69"/>
        <v>9.0909090909090912E-2</v>
      </c>
      <c r="P32" s="395"/>
      <c r="Q32" s="295">
        <v>0</v>
      </c>
      <c r="R32" s="395">
        <f t="shared" ca="1" si="70"/>
        <v>0</v>
      </c>
      <c r="S32" s="395"/>
      <c r="T32" s="295">
        <v>2</v>
      </c>
      <c r="U32" s="370">
        <f t="shared" ca="1" si="71"/>
        <v>0.22222222222222221</v>
      </c>
      <c r="V32" s="395"/>
      <c r="W32" s="387">
        <v>0</v>
      </c>
      <c r="X32" s="395">
        <f t="shared" ca="1" si="72"/>
        <v>0</v>
      </c>
      <c r="Y32" s="395"/>
      <c r="Z32" s="387">
        <v>0</v>
      </c>
      <c r="AA32" s="395">
        <f t="shared" ca="1" si="73"/>
        <v>0</v>
      </c>
      <c r="AB32" s="395"/>
      <c r="AC32" s="387">
        <f ca="1">Credit_2010Q4!$AD31</f>
        <v>0</v>
      </c>
      <c r="AD32" s="395">
        <f t="shared" ca="1" si="74"/>
        <v>0</v>
      </c>
      <c r="AE32" s="395"/>
      <c r="AF32" s="387">
        <f ca="1">Credit_2011Q4!$AD31</f>
        <v>0</v>
      </c>
      <c r="AG32" s="395">
        <f t="shared" ca="1" si="75"/>
        <v>0</v>
      </c>
      <c r="AH32" s="395"/>
      <c r="AI32" s="295">
        <f t="shared" ca="1" si="76"/>
        <v>0</v>
      </c>
      <c r="AJ32" s="395">
        <f t="shared" ca="1" si="77"/>
        <v>0</v>
      </c>
      <c r="AK32" s="395"/>
      <c r="AL32" s="295">
        <f t="shared" ca="1" si="78"/>
        <v>0</v>
      </c>
      <c r="AM32" s="395">
        <f t="shared" ca="1" si="79"/>
        <v>0</v>
      </c>
      <c r="AN32" s="395"/>
      <c r="AO32" s="295">
        <f t="shared" ref="AO32:AO36" ca="1" si="88">INDIRECT( BQ32 &amp; $BK32 )</f>
        <v>0</v>
      </c>
      <c r="AP32" s="395">
        <f t="shared" ca="1" si="80"/>
        <v>0</v>
      </c>
      <c r="AQ32" s="395"/>
      <c r="AR32" s="295">
        <f t="shared" ca="1" si="81"/>
        <v>0</v>
      </c>
      <c r="AS32" s="395">
        <f t="shared" ca="1" si="82"/>
        <v>0</v>
      </c>
      <c r="AT32" s="395"/>
      <c r="AU32" s="295">
        <f t="shared" ca="1" si="83"/>
        <v>0</v>
      </c>
      <c r="AV32" s="395">
        <f t="shared" ca="1" si="84"/>
        <v>0</v>
      </c>
      <c r="AW32" s="395"/>
      <c r="AX32" s="295"/>
      <c r="AY32" s="395"/>
      <c r="AZ32" s="395"/>
      <c r="BA32" s="295"/>
      <c r="BB32" s="395"/>
      <c r="BC32" s="395"/>
      <c r="BD32" s="295"/>
      <c r="BE32" s="395"/>
      <c r="BF32" s="395"/>
      <c r="BG32" s="388"/>
      <c r="BH32" s="457"/>
      <c r="BK32" s="258">
        <f t="shared" ref="BK32:BK36" ca="1" si="89">BK22</f>
        <v>9</v>
      </c>
      <c r="BL32" s="255" t="str">
        <f ca="1">BL31</f>
        <v>u</v>
      </c>
      <c r="BM32" s="258" t="str">
        <f t="shared" ca="1" si="85"/>
        <v>'Credit_2012Q4'!u</v>
      </c>
      <c r="BO32" s="258" t="str">
        <f t="shared" ca="1" si="86"/>
        <v>'Credit_2013Q4'!u</v>
      </c>
      <c r="BQ32" s="258" t="str">
        <f t="shared" ca="1" si="87"/>
        <v>'Credit_2014Q4'!u</v>
      </c>
      <c r="BS32" s="258" t="str">
        <f t="shared" ca="1" si="87"/>
        <v>'Credit_2015Q4'!u</v>
      </c>
      <c r="BU32" s="258" t="str">
        <f t="shared" ca="1" si="87"/>
        <v>'Credit_2016Q4'!u</v>
      </c>
      <c r="BW32" s="258" t="str">
        <f t="shared" ca="1" si="87"/>
        <v>'Credit_2017Q4'!u</v>
      </c>
      <c r="BY32" s="258" t="str">
        <f t="shared" ca="1" si="87"/>
        <v>'Credit_2018Q4'!u</v>
      </c>
      <c r="CA32" s="258" t="str">
        <f t="shared" ca="1" si="87"/>
        <v>'Credit_2019Q4'!u</v>
      </c>
      <c r="CC32" s="258" t="str">
        <f t="shared" ca="1" si="87"/>
        <v>'Credit_2020Q1'!u</v>
      </c>
    </row>
    <row r="33" spans="3:81" x14ac:dyDescent="0.25">
      <c r="C33" s="354"/>
      <c r="D33" s="354" t="s">
        <v>16</v>
      </c>
      <c r="E33" s="295">
        <v>2</v>
      </c>
      <c r="F33" s="395">
        <v>0.14285714285714285</v>
      </c>
      <c r="G33" s="438"/>
      <c r="H33" s="295">
        <v>4</v>
      </c>
      <c r="I33" s="395">
        <v>0.26666666666666666</v>
      </c>
      <c r="J33" s="434"/>
      <c r="K33" s="295">
        <v>3</v>
      </c>
      <c r="L33" s="395">
        <v>0.27272727272727271</v>
      </c>
      <c r="M33" s="438"/>
      <c r="N33" s="295">
        <v>2</v>
      </c>
      <c r="O33" s="395">
        <f t="shared" ca="1" si="69"/>
        <v>0.18181818181818182</v>
      </c>
      <c r="P33" s="395"/>
      <c r="Q33" s="295">
        <v>4</v>
      </c>
      <c r="R33" s="395">
        <f t="shared" ca="1" si="70"/>
        <v>0.36363636363636365</v>
      </c>
      <c r="S33" s="395"/>
      <c r="T33" s="295">
        <v>3</v>
      </c>
      <c r="U33" s="370">
        <f t="shared" ca="1" si="71"/>
        <v>0.33333333333333331</v>
      </c>
      <c r="V33" s="395"/>
      <c r="W33" s="387">
        <v>2</v>
      </c>
      <c r="X33" s="395">
        <f t="shared" ca="1" si="72"/>
        <v>0.2857142857142857</v>
      </c>
      <c r="Y33" s="395"/>
      <c r="Z33" s="387">
        <v>1</v>
      </c>
      <c r="AA33" s="395">
        <f t="shared" ca="1" si="73"/>
        <v>0.16666666666666666</v>
      </c>
      <c r="AB33" s="395"/>
      <c r="AC33" s="387">
        <f ca="1">Credit_2010Q4!$AD32</f>
        <v>2</v>
      </c>
      <c r="AD33" s="395">
        <f t="shared" ca="1" si="74"/>
        <v>0.4</v>
      </c>
      <c r="AE33" s="395"/>
      <c r="AF33" s="387">
        <f ca="1">Credit_2011Q4!$AD32</f>
        <v>1</v>
      </c>
      <c r="AG33" s="395">
        <f t="shared" ca="1" si="75"/>
        <v>0.25</v>
      </c>
      <c r="AH33" s="395"/>
      <c r="AI33" s="295">
        <f t="shared" ca="1" si="76"/>
        <v>1</v>
      </c>
      <c r="AJ33" s="395">
        <f t="shared" ca="1" si="77"/>
        <v>0.33333333333333331</v>
      </c>
      <c r="AK33" s="395"/>
      <c r="AL33" s="295">
        <f t="shared" ca="1" si="78"/>
        <v>1</v>
      </c>
      <c r="AM33" s="395">
        <f t="shared" ca="1" si="79"/>
        <v>0.5</v>
      </c>
      <c r="AN33" s="395"/>
      <c r="AO33" s="295">
        <f t="shared" ca="1" si="88"/>
        <v>1</v>
      </c>
      <c r="AP33" s="395">
        <f t="shared" ca="1" si="80"/>
        <v>0.5</v>
      </c>
      <c r="AQ33" s="395"/>
      <c r="AR33" s="295">
        <f t="shared" ca="1" si="81"/>
        <v>1</v>
      </c>
      <c r="AS33" s="395">
        <f t="shared" ca="1" si="82"/>
        <v>0.5</v>
      </c>
      <c r="AT33" s="395"/>
      <c r="AU33" s="295">
        <f t="shared" ca="1" si="83"/>
        <v>0</v>
      </c>
      <c r="AV33" s="395">
        <f t="shared" ca="1" si="84"/>
        <v>0</v>
      </c>
      <c r="AW33" s="395"/>
      <c r="AX33" s="295"/>
      <c r="AY33" s="395"/>
      <c r="AZ33" s="395"/>
      <c r="BA33" s="295"/>
      <c r="BB33" s="395"/>
      <c r="BC33" s="395"/>
      <c r="BD33" s="295"/>
      <c r="BE33" s="395"/>
      <c r="BF33" s="395"/>
      <c r="BG33" s="388"/>
      <c r="BH33" s="457"/>
      <c r="BK33" s="258">
        <f t="shared" ca="1" si="89"/>
        <v>10</v>
      </c>
      <c r="BL33" s="255" t="str">
        <f t="shared" ref="BL33:BL36" ca="1" si="90">BL32</f>
        <v>u</v>
      </c>
      <c r="BM33" s="258" t="str">
        <f t="shared" ca="1" si="85"/>
        <v>'Credit_2012Q4'!u</v>
      </c>
      <c r="BO33" s="258" t="str">
        <f t="shared" ca="1" si="86"/>
        <v>'Credit_2013Q4'!u</v>
      </c>
      <c r="BQ33" s="258" t="str">
        <f t="shared" ca="1" si="87"/>
        <v>'Credit_2014Q4'!u</v>
      </c>
      <c r="BS33" s="258" t="str">
        <f t="shared" ca="1" si="87"/>
        <v>'Credit_2015Q4'!u</v>
      </c>
      <c r="BU33" s="258" t="str">
        <f t="shared" ca="1" si="87"/>
        <v>'Credit_2016Q4'!u</v>
      </c>
      <c r="BW33" s="258" t="str">
        <f t="shared" ca="1" si="87"/>
        <v>'Credit_2017Q4'!u</v>
      </c>
      <c r="BY33" s="258" t="str">
        <f t="shared" ca="1" si="87"/>
        <v>'Credit_2018Q4'!u</v>
      </c>
      <c r="CA33" s="258" t="str">
        <f t="shared" ca="1" si="87"/>
        <v>'Credit_2019Q4'!u</v>
      </c>
      <c r="CC33" s="258" t="str">
        <f t="shared" ca="1" si="87"/>
        <v>'Credit_2020Q1'!u</v>
      </c>
    </row>
    <row r="34" spans="3:81" x14ac:dyDescent="0.25">
      <c r="C34" s="354"/>
      <c r="D34" s="354" t="s">
        <v>28</v>
      </c>
      <c r="E34" s="387">
        <v>7</v>
      </c>
      <c r="F34" s="395">
        <v>0.5</v>
      </c>
      <c r="G34" s="438"/>
      <c r="H34" s="387">
        <v>5</v>
      </c>
      <c r="I34" s="395">
        <v>0.33333333333333331</v>
      </c>
      <c r="J34" s="434"/>
      <c r="K34" s="387">
        <v>5</v>
      </c>
      <c r="L34" s="395">
        <v>0.45454545454545453</v>
      </c>
      <c r="M34" s="438"/>
      <c r="N34" s="387">
        <v>5</v>
      </c>
      <c r="O34" s="395">
        <f t="shared" ca="1" si="69"/>
        <v>0.45454545454545453</v>
      </c>
      <c r="P34" s="395"/>
      <c r="Q34" s="387">
        <v>3</v>
      </c>
      <c r="R34" s="395">
        <f t="shared" ca="1" si="70"/>
        <v>0.27272727272727271</v>
      </c>
      <c r="S34" s="395"/>
      <c r="T34" s="387">
        <v>1</v>
      </c>
      <c r="U34" s="370">
        <f t="shared" ca="1" si="71"/>
        <v>0.1111111111111111</v>
      </c>
      <c r="V34" s="395"/>
      <c r="W34" s="387">
        <v>2</v>
      </c>
      <c r="X34" s="395">
        <f t="shared" ca="1" si="72"/>
        <v>0.2857142857142857</v>
      </c>
      <c r="Y34" s="395"/>
      <c r="Z34" s="387">
        <v>2</v>
      </c>
      <c r="AA34" s="395">
        <f t="shared" ca="1" si="73"/>
        <v>0.33333333333333331</v>
      </c>
      <c r="AB34" s="395"/>
      <c r="AC34" s="387">
        <f ca="1">Credit_2010Q4!$AD33</f>
        <v>0</v>
      </c>
      <c r="AD34" s="395">
        <f t="shared" ca="1" si="74"/>
        <v>0</v>
      </c>
      <c r="AE34" s="395"/>
      <c r="AF34" s="387">
        <f ca="1">Credit_2011Q4!$AD33</f>
        <v>0</v>
      </c>
      <c r="AG34" s="395">
        <f t="shared" ca="1" si="75"/>
        <v>0</v>
      </c>
      <c r="AH34" s="395"/>
      <c r="AI34" s="387">
        <f t="shared" ca="1" si="76"/>
        <v>0</v>
      </c>
      <c r="AJ34" s="395">
        <f t="shared" ca="1" si="77"/>
        <v>0</v>
      </c>
      <c r="AK34" s="395"/>
      <c r="AL34" s="387">
        <f t="shared" ca="1" si="78"/>
        <v>0</v>
      </c>
      <c r="AM34" s="395">
        <f t="shared" ca="1" si="79"/>
        <v>0</v>
      </c>
      <c r="AN34" s="395"/>
      <c r="AO34" s="387">
        <f t="shared" ca="1" si="88"/>
        <v>0</v>
      </c>
      <c r="AP34" s="395">
        <f t="shared" ca="1" si="80"/>
        <v>0</v>
      </c>
      <c r="AQ34" s="395"/>
      <c r="AR34" s="387">
        <f t="shared" ca="1" si="81"/>
        <v>0</v>
      </c>
      <c r="AS34" s="395">
        <f t="shared" ca="1" si="82"/>
        <v>0</v>
      </c>
      <c r="AT34" s="395"/>
      <c r="AU34" s="387">
        <f t="shared" ca="1" si="83"/>
        <v>1</v>
      </c>
      <c r="AV34" s="395">
        <f t="shared" ca="1" si="84"/>
        <v>0.5</v>
      </c>
      <c r="AW34" s="395"/>
      <c r="AX34" s="387"/>
      <c r="AY34" s="395"/>
      <c r="AZ34" s="395"/>
      <c r="BA34" s="387"/>
      <c r="BB34" s="395"/>
      <c r="BC34" s="395"/>
      <c r="BD34" s="387"/>
      <c r="BE34" s="395"/>
      <c r="BF34" s="395"/>
      <c r="BG34" s="388"/>
      <c r="BH34" s="457"/>
      <c r="BK34" s="258">
        <f t="shared" ca="1" si="89"/>
        <v>11</v>
      </c>
      <c r="BL34" s="255" t="str">
        <f t="shared" ca="1" si="90"/>
        <v>u</v>
      </c>
      <c r="BM34" s="258" t="str">
        <f t="shared" ca="1" si="85"/>
        <v>'Credit_2012Q4'!u</v>
      </c>
      <c r="BO34" s="258" t="str">
        <f t="shared" ca="1" si="86"/>
        <v>'Credit_2013Q4'!u</v>
      </c>
      <c r="BQ34" s="258" t="str">
        <f t="shared" ca="1" si="87"/>
        <v>'Credit_2014Q4'!u</v>
      </c>
      <c r="BS34" s="258" t="str">
        <f t="shared" ca="1" si="87"/>
        <v>'Credit_2015Q4'!u</v>
      </c>
      <c r="BU34" s="258" t="str">
        <f t="shared" ca="1" si="87"/>
        <v>'Credit_2016Q4'!u</v>
      </c>
      <c r="BW34" s="258" t="str">
        <f t="shared" ca="1" si="87"/>
        <v>'Credit_2017Q4'!u</v>
      </c>
      <c r="BY34" s="258" t="str">
        <f t="shared" ca="1" si="87"/>
        <v>'Credit_2018Q4'!u</v>
      </c>
      <c r="CA34" s="258" t="str">
        <f t="shared" ca="1" si="87"/>
        <v>'Credit_2019Q4'!u</v>
      </c>
      <c r="CC34" s="258" t="str">
        <f t="shared" ca="1" si="87"/>
        <v>'Credit_2020Q1'!u</v>
      </c>
    </row>
    <row r="35" spans="3:81" x14ac:dyDescent="0.25">
      <c r="C35" s="354"/>
      <c r="D35" s="354" t="s">
        <v>49</v>
      </c>
      <c r="E35" s="387">
        <v>0</v>
      </c>
      <c r="F35" s="395">
        <v>0</v>
      </c>
      <c r="G35" s="438"/>
      <c r="H35" s="387">
        <v>2</v>
      </c>
      <c r="I35" s="395">
        <v>0.13333333333333333</v>
      </c>
      <c r="J35" s="434"/>
      <c r="K35" s="387">
        <v>1</v>
      </c>
      <c r="L35" s="395">
        <v>9.0909090909090912E-2</v>
      </c>
      <c r="M35" s="438"/>
      <c r="N35" s="387">
        <v>2</v>
      </c>
      <c r="O35" s="395">
        <f t="shared" ca="1" si="69"/>
        <v>0.18181818181818182</v>
      </c>
      <c r="P35" s="395"/>
      <c r="Q35" s="387">
        <v>2</v>
      </c>
      <c r="R35" s="395">
        <f t="shared" ca="1" si="70"/>
        <v>0.18181818181818182</v>
      </c>
      <c r="S35" s="395"/>
      <c r="T35" s="387">
        <v>2</v>
      </c>
      <c r="U35" s="370">
        <f t="shared" ca="1" si="71"/>
        <v>0.22222222222222221</v>
      </c>
      <c r="V35" s="395"/>
      <c r="W35" s="387">
        <v>2</v>
      </c>
      <c r="X35" s="395">
        <f t="shared" ca="1" si="72"/>
        <v>0.2857142857142857</v>
      </c>
      <c r="Y35" s="395"/>
      <c r="Z35" s="387">
        <v>2</v>
      </c>
      <c r="AA35" s="395">
        <f t="shared" ca="1" si="73"/>
        <v>0.33333333333333331</v>
      </c>
      <c r="AB35" s="395"/>
      <c r="AC35" s="387">
        <f ca="1">Credit_2010Q4!$AD34</f>
        <v>2</v>
      </c>
      <c r="AD35" s="395">
        <f t="shared" ca="1" si="74"/>
        <v>0.4</v>
      </c>
      <c r="AE35" s="395"/>
      <c r="AF35" s="387">
        <f ca="1">Credit_2011Q4!$AD34</f>
        <v>2</v>
      </c>
      <c r="AG35" s="395">
        <f t="shared" ca="1" si="75"/>
        <v>0.5</v>
      </c>
      <c r="AH35" s="395"/>
      <c r="AI35" s="387">
        <f t="shared" ca="1" si="76"/>
        <v>1</v>
      </c>
      <c r="AJ35" s="395">
        <f t="shared" ca="1" si="77"/>
        <v>0.33333333333333331</v>
      </c>
      <c r="AK35" s="395"/>
      <c r="AL35" s="387">
        <f t="shared" ca="1" si="78"/>
        <v>0</v>
      </c>
      <c r="AM35" s="395">
        <f t="shared" ca="1" si="79"/>
        <v>0</v>
      </c>
      <c r="AN35" s="395"/>
      <c r="AO35" s="387">
        <f t="shared" ca="1" si="88"/>
        <v>1</v>
      </c>
      <c r="AP35" s="395">
        <f t="shared" ca="1" si="80"/>
        <v>0.5</v>
      </c>
      <c r="AQ35" s="395"/>
      <c r="AR35" s="387">
        <f t="shared" ca="1" si="81"/>
        <v>1</v>
      </c>
      <c r="AS35" s="395">
        <f t="shared" ca="1" si="82"/>
        <v>0.5</v>
      </c>
      <c r="AT35" s="395"/>
      <c r="AU35" s="387">
        <f t="shared" ca="1" si="83"/>
        <v>1</v>
      </c>
      <c r="AV35" s="395">
        <f t="shared" ca="1" si="84"/>
        <v>0.5</v>
      </c>
      <c r="AW35" s="395"/>
      <c r="AX35" s="387"/>
      <c r="AY35" s="395"/>
      <c r="AZ35" s="395"/>
      <c r="BA35" s="387"/>
      <c r="BB35" s="395"/>
      <c r="BC35" s="395"/>
      <c r="BD35" s="387"/>
      <c r="BE35" s="395"/>
      <c r="BF35" s="395"/>
      <c r="BG35" s="388"/>
      <c r="BH35" s="457"/>
      <c r="BK35" s="258">
        <f t="shared" ca="1" si="89"/>
        <v>12</v>
      </c>
      <c r="BL35" s="255" t="str">
        <f t="shared" ca="1" si="90"/>
        <v>u</v>
      </c>
      <c r="BM35" s="258" t="str">
        <f t="shared" ca="1" si="85"/>
        <v>'Credit_2012Q4'!u</v>
      </c>
      <c r="BO35" s="258" t="str">
        <f t="shared" ca="1" si="86"/>
        <v>'Credit_2013Q4'!u</v>
      </c>
      <c r="BQ35" s="258" t="str">
        <f t="shared" ca="1" si="87"/>
        <v>'Credit_2014Q4'!u</v>
      </c>
      <c r="BS35" s="258" t="str">
        <f t="shared" ca="1" si="87"/>
        <v>'Credit_2015Q4'!u</v>
      </c>
      <c r="BU35" s="258" t="str">
        <f t="shared" ca="1" si="87"/>
        <v>'Credit_2016Q4'!u</v>
      </c>
      <c r="BW35" s="258" t="str">
        <f t="shared" ca="1" si="87"/>
        <v>'Credit_2017Q4'!u</v>
      </c>
      <c r="BY35" s="258" t="str">
        <f t="shared" ca="1" si="87"/>
        <v>'Credit_2018Q4'!u</v>
      </c>
      <c r="CA35" s="258" t="str">
        <f t="shared" ca="1" si="87"/>
        <v>'Credit_2019Q4'!u</v>
      </c>
      <c r="CC35" s="258" t="str">
        <f t="shared" ca="1" si="87"/>
        <v>'Credit_2020Q1'!u</v>
      </c>
    </row>
    <row r="36" spans="3:81" x14ac:dyDescent="0.25">
      <c r="C36" s="356"/>
      <c r="D36" s="356" t="s">
        <v>79</v>
      </c>
      <c r="E36" s="389">
        <v>2</v>
      </c>
      <c r="F36" s="371">
        <v>0.14285714285714285</v>
      </c>
      <c r="G36" s="357"/>
      <c r="H36" s="389">
        <v>2</v>
      </c>
      <c r="I36" s="371">
        <v>0.13333333333333333</v>
      </c>
      <c r="J36" s="358"/>
      <c r="K36" s="389">
        <v>1</v>
      </c>
      <c r="L36" s="371">
        <v>9.0909090909090912E-2</v>
      </c>
      <c r="M36" s="357"/>
      <c r="N36" s="389">
        <v>1</v>
      </c>
      <c r="O36" s="371">
        <f t="shared" ca="1" si="69"/>
        <v>9.0909090909090912E-2</v>
      </c>
      <c r="P36" s="371"/>
      <c r="Q36" s="389">
        <v>1</v>
      </c>
      <c r="R36" s="371">
        <f t="shared" ca="1" si="70"/>
        <v>9.0909090909090912E-2</v>
      </c>
      <c r="S36" s="371"/>
      <c r="T36" s="389">
        <v>1</v>
      </c>
      <c r="U36" s="393">
        <f t="shared" ca="1" si="71"/>
        <v>0.1111111111111111</v>
      </c>
      <c r="V36" s="371"/>
      <c r="W36" s="389">
        <v>1</v>
      </c>
      <c r="X36" s="371">
        <f t="shared" ca="1" si="72"/>
        <v>0.14285714285714285</v>
      </c>
      <c r="Y36" s="371"/>
      <c r="Z36" s="389">
        <v>1</v>
      </c>
      <c r="AA36" s="371">
        <f t="shared" ca="1" si="73"/>
        <v>0.16666666666666666</v>
      </c>
      <c r="AB36" s="371"/>
      <c r="AC36" s="389">
        <f ca="1">Credit_2010Q4!$AD35</f>
        <v>1</v>
      </c>
      <c r="AD36" s="371">
        <f t="shared" ca="1" si="74"/>
        <v>0.2</v>
      </c>
      <c r="AE36" s="371"/>
      <c r="AF36" s="389">
        <f ca="1">Credit_2011Q4!$AD35</f>
        <v>1</v>
      </c>
      <c r="AG36" s="371">
        <f t="shared" ca="1" si="75"/>
        <v>0.25</v>
      </c>
      <c r="AH36" s="371"/>
      <c r="AI36" s="389">
        <f t="shared" ca="1" si="76"/>
        <v>1</v>
      </c>
      <c r="AJ36" s="371">
        <f t="shared" ca="1" si="77"/>
        <v>0.33333333333333331</v>
      </c>
      <c r="AK36" s="371"/>
      <c r="AL36" s="389">
        <f t="shared" ca="1" si="78"/>
        <v>1</v>
      </c>
      <c r="AM36" s="371">
        <f t="shared" ca="1" si="79"/>
        <v>0.5</v>
      </c>
      <c r="AN36" s="371"/>
      <c r="AO36" s="389">
        <f t="shared" ca="1" si="88"/>
        <v>0</v>
      </c>
      <c r="AP36" s="371">
        <f t="shared" ca="1" si="80"/>
        <v>0</v>
      </c>
      <c r="AQ36" s="371"/>
      <c r="AR36" s="389">
        <f t="shared" ca="1" si="81"/>
        <v>0</v>
      </c>
      <c r="AS36" s="371">
        <f t="shared" ca="1" si="82"/>
        <v>0</v>
      </c>
      <c r="AT36" s="371"/>
      <c r="AU36" s="389">
        <f t="shared" ca="1" si="83"/>
        <v>0</v>
      </c>
      <c r="AV36" s="371">
        <f t="shared" ca="1" si="84"/>
        <v>0</v>
      </c>
      <c r="AW36" s="371"/>
      <c r="AX36" s="389"/>
      <c r="AY36" s="371"/>
      <c r="AZ36" s="371"/>
      <c r="BA36" s="389"/>
      <c r="BB36" s="371"/>
      <c r="BC36" s="371"/>
      <c r="BD36" s="389"/>
      <c r="BE36" s="371"/>
      <c r="BF36" s="371"/>
      <c r="BG36" s="390"/>
      <c r="BH36" s="458"/>
      <c r="BK36" s="258">
        <f t="shared" ca="1" si="89"/>
        <v>13</v>
      </c>
      <c r="BL36" s="255" t="str">
        <f t="shared" ca="1" si="90"/>
        <v>u</v>
      </c>
      <c r="BM36" s="258" t="str">
        <f t="shared" ca="1" si="85"/>
        <v>'Credit_2012Q4'!u</v>
      </c>
      <c r="BO36" s="258" t="str">
        <f t="shared" ca="1" si="86"/>
        <v>'Credit_2013Q4'!u</v>
      </c>
      <c r="BQ36" s="258" t="str">
        <f t="shared" ca="1" si="87"/>
        <v>'Credit_2014Q4'!u</v>
      </c>
      <c r="BS36" s="258" t="str">
        <f t="shared" ca="1" si="87"/>
        <v>'Credit_2015Q4'!u</v>
      </c>
      <c r="BU36" s="258" t="str">
        <f t="shared" ca="1" si="87"/>
        <v>'Credit_2016Q4'!u</v>
      </c>
      <c r="BW36" s="258" t="str">
        <f t="shared" ca="1" si="87"/>
        <v>'Credit_2017Q4'!u</v>
      </c>
      <c r="BY36" s="258" t="str">
        <f t="shared" ca="1" si="87"/>
        <v>'Credit_2018Q4'!u</v>
      </c>
      <c r="CA36" s="258" t="str">
        <f t="shared" ca="1" si="87"/>
        <v>'Credit_2019Q4'!u</v>
      </c>
      <c r="CC36" s="258" t="str">
        <f t="shared" ca="1" si="87"/>
        <v>'Credit_2020Q1'!u</v>
      </c>
    </row>
    <row r="37" spans="3:81" s="365" customFormat="1" x14ac:dyDescent="0.25">
      <c r="C37" s="359"/>
      <c r="D37" s="359" t="s">
        <v>80</v>
      </c>
      <c r="E37" s="291">
        <f t="shared" ref="E37:AA37" ca="1" si="91">SUM(E31:E36)</f>
        <v>14</v>
      </c>
      <c r="F37" s="376">
        <f t="shared" ca="1" si="91"/>
        <v>1</v>
      </c>
      <c r="G37" s="366"/>
      <c r="H37" s="291">
        <f t="shared" ca="1" si="91"/>
        <v>15</v>
      </c>
      <c r="I37" s="376">
        <f t="shared" ca="1" si="91"/>
        <v>1</v>
      </c>
      <c r="J37" s="366"/>
      <c r="K37" s="291">
        <f t="shared" ca="1" si="91"/>
        <v>11</v>
      </c>
      <c r="L37" s="376">
        <f t="shared" ca="1" si="91"/>
        <v>1</v>
      </c>
      <c r="M37" s="366"/>
      <c r="N37" s="291">
        <f ca="1">SUM(N31:N36)</f>
        <v>11</v>
      </c>
      <c r="O37" s="376">
        <f ca="1">SUM(O31:O36)</f>
        <v>1</v>
      </c>
      <c r="P37" s="376"/>
      <c r="Q37" s="291">
        <f ca="1">SUM(Q31:Q36)</f>
        <v>11</v>
      </c>
      <c r="R37" s="376">
        <f t="shared" ca="1" si="91"/>
        <v>1</v>
      </c>
      <c r="S37" s="376"/>
      <c r="T37" s="291">
        <f ca="1">SUM(T31:T36)</f>
        <v>9</v>
      </c>
      <c r="U37" s="376">
        <f t="shared" ca="1" si="91"/>
        <v>1</v>
      </c>
      <c r="V37" s="376"/>
      <c r="W37" s="291">
        <f ca="1">SUM(W31:W36)</f>
        <v>7</v>
      </c>
      <c r="X37" s="376">
        <f t="shared" ca="1" si="91"/>
        <v>1</v>
      </c>
      <c r="Y37" s="376"/>
      <c r="Z37" s="291">
        <f ca="1">SUM(Z31:Z36)</f>
        <v>6</v>
      </c>
      <c r="AA37" s="376">
        <f t="shared" ca="1" si="91"/>
        <v>0.99999999999999989</v>
      </c>
      <c r="AB37" s="376"/>
      <c r="AC37" s="291">
        <f t="shared" ref="AC37:AF37" ca="1" si="92">SUM(AC31:AC36)</f>
        <v>5</v>
      </c>
      <c r="AD37" s="376">
        <f t="shared" ca="1" si="92"/>
        <v>1</v>
      </c>
      <c r="AE37" s="376"/>
      <c r="AF37" s="291">
        <f t="shared" ca="1" si="92"/>
        <v>4</v>
      </c>
      <c r="AG37" s="376">
        <f t="shared" ref="AG37" ca="1" si="93">SUM(AG31:AG36)</f>
        <v>1</v>
      </c>
      <c r="AH37" s="376"/>
      <c r="AI37" s="291">
        <f ca="1">SUM(AI31:AI36)</f>
        <v>3</v>
      </c>
      <c r="AJ37" s="376">
        <f t="shared" ref="AJ37" ca="1" si="94">SUM(AJ31:AJ36)</f>
        <v>1</v>
      </c>
      <c r="AK37" s="376"/>
      <c r="AL37" s="291">
        <f ca="1">SUM(AL31:AL36)</f>
        <v>2</v>
      </c>
      <c r="AM37" s="376">
        <f ca="1">SUM(AM31:AM36)</f>
        <v>1</v>
      </c>
      <c r="AN37" s="376"/>
      <c r="AO37" s="391">
        <f ca="1">SUM(AO31:AO36)</f>
        <v>2</v>
      </c>
      <c r="AP37" s="376">
        <f ca="1">SUM(AP31:AP36)</f>
        <v>1</v>
      </c>
      <c r="AQ37" s="376"/>
      <c r="AR37" s="291">
        <f ca="1">SUM(AR31:AR36)</f>
        <v>2</v>
      </c>
      <c r="AS37" s="376">
        <f ca="1">SUM(AS31:AS36)</f>
        <v>1</v>
      </c>
      <c r="AT37" s="376"/>
      <c r="AU37" s="291">
        <f ca="1">SUM(AU31:AU36)</f>
        <v>2</v>
      </c>
      <c r="AV37" s="376">
        <f ca="1">SUM(AV31:AV36)</f>
        <v>1</v>
      </c>
      <c r="AW37" s="376"/>
      <c r="AX37" s="291"/>
      <c r="AY37" s="376"/>
      <c r="AZ37" s="376"/>
      <c r="BA37" s="391"/>
      <c r="BB37" s="376"/>
      <c r="BC37" s="376"/>
      <c r="BD37" s="391"/>
      <c r="BE37" s="376"/>
      <c r="BF37" s="376"/>
      <c r="BG37" s="392"/>
      <c r="BH37" s="459"/>
      <c r="BL37" s="260"/>
    </row>
    <row r="38" spans="3:81" x14ac:dyDescent="0.25">
      <c r="AA38" s="397"/>
    </row>
    <row r="40" spans="3:81" x14ac:dyDescent="0.25">
      <c r="C40" s="279"/>
      <c r="D40" s="279" t="s">
        <v>547</v>
      </c>
    </row>
  </sheetData>
  <mergeCells count="20"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G7:BH7"/>
    <mergeCell ref="AO7:AP7"/>
    <mergeCell ref="AX7:AY7"/>
    <mergeCell ref="BA7:BB7"/>
    <mergeCell ref="BD7:BE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18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384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385</v>
      </c>
      <c r="C6" s="152"/>
      <c r="D6" s="152"/>
      <c r="E6" s="153">
        <v>40543</v>
      </c>
      <c r="W6" s="150" t="s">
        <v>0</v>
      </c>
      <c r="X6" s="151" t="s">
        <v>385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14.45945945945946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ref="E8:E14" si="0">VLOOKUP($D8,$Q$7:$R$68,2,0)</f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86"/>
      <c r="N8" s="87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86"/>
      <c r="N9" s="87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86"/>
      <c r="N10" s="87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86"/>
      <c r="N11" s="8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M12" s="86"/>
      <c r="N12" s="87"/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M13" s="86"/>
      <c r="N13" s="87"/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M14" s="89"/>
      <c r="N14" s="90"/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81" t="s">
        <v>26</v>
      </c>
      <c r="B16" s="82" t="s">
        <v>10</v>
      </c>
      <c r="C16" s="82">
        <v>16</v>
      </c>
      <c r="D16" s="82" t="s">
        <v>335</v>
      </c>
      <c r="E16" s="102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512</v>
      </c>
      <c r="B24" s="80" t="s">
        <v>16</v>
      </c>
      <c r="C24" s="80">
        <v>15</v>
      </c>
      <c r="D24" s="110" t="s">
        <v>511</v>
      </c>
      <c r="E24" s="111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9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5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83" t="s">
        <v>62</v>
      </c>
      <c r="B32" s="80" t="s">
        <v>16</v>
      </c>
      <c r="C32" s="80">
        <v>15</v>
      </c>
      <c r="D32" s="110" t="s">
        <v>329</v>
      </c>
      <c r="E32" s="111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9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61</v>
      </c>
      <c r="Y37" s="110">
        <v>11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81" t="s">
        <v>41</v>
      </c>
      <c r="B43" s="82" t="s">
        <v>28</v>
      </c>
      <c r="C43" s="82">
        <v>14</v>
      </c>
      <c r="D43" s="82" t="s">
        <v>321</v>
      </c>
      <c r="E43" s="102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144" t="s">
        <v>42</v>
      </c>
      <c r="B61" s="145" t="s">
        <v>61</v>
      </c>
      <c r="C61" s="145">
        <v>11</v>
      </c>
      <c r="D61" s="145" t="s">
        <v>320</v>
      </c>
      <c r="E61" s="146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162" t="s">
        <v>248</v>
      </c>
      <c r="B62" s="163" t="s">
        <v>125</v>
      </c>
      <c r="C62" s="163">
        <v>5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14.232142857142858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120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19">
    <tabColor rgb="FF00206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381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382</v>
      </c>
      <c r="C6" s="152"/>
      <c r="D6" s="152"/>
      <c r="E6" s="153">
        <v>40543</v>
      </c>
      <c r="W6" s="150" t="s">
        <v>0</v>
      </c>
      <c r="X6" s="151" t="s">
        <v>382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14.432432432432432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165" t="s">
        <v>87</v>
      </c>
      <c r="X7" s="166" t="s">
        <v>10</v>
      </c>
      <c r="Y7" s="166">
        <v>16</v>
      </c>
      <c r="Z7" s="166" t="s">
        <v>303</v>
      </c>
      <c r="AA7" s="167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1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9</v>
      </c>
      <c r="I9" s="87">
        <f t="shared" ref="I9:I14" si="1">H9/H$14</f>
        <v>0.15254237288135594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1" t="s">
        <v>372</v>
      </c>
      <c r="AC9" s="72" t="s">
        <v>10</v>
      </c>
      <c r="AD9" s="86">
        <f>COUNTIF(Y$13:Y$51,"=16")</f>
        <v>6</v>
      </c>
      <c r="AE9" s="87">
        <f t="shared" ref="AE9:AE14" si="2">AD9/AD$14</f>
        <v>0.16216216216216217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15</v>
      </c>
      <c r="I10" s="87">
        <f t="shared" si="1"/>
        <v>0.25423728813559321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1" t="s">
        <v>372</v>
      </c>
      <c r="AC10" s="72" t="s">
        <v>16</v>
      </c>
      <c r="AD10" s="86">
        <f>COUNTIF(Y$13:Y$51,"=15")</f>
        <v>8</v>
      </c>
      <c r="AE10" s="87">
        <f t="shared" si="2"/>
        <v>0.21621621621621623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15</v>
      </c>
      <c r="I11" s="87">
        <f t="shared" si="1"/>
        <v>0.25423728813559321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1" t="s">
        <v>372</v>
      </c>
      <c r="AC11" s="72" t="s">
        <v>28</v>
      </c>
      <c r="AD11" s="86">
        <f>COUNTIF(Y$13:Y$51,"=14")</f>
        <v>12</v>
      </c>
      <c r="AE11" s="87">
        <f t="shared" si="2"/>
        <v>0.32432432432432434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11</v>
      </c>
      <c r="I12" s="87">
        <f t="shared" si="1"/>
        <v>0.1864406779661017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1" t="s">
        <v>372</v>
      </c>
      <c r="AC12" s="72" t="s">
        <v>49</v>
      </c>
      <c r="AD12" s="86">
        <f>COUNTIF(Y$13:Y$51,"=13")</f>
        <v>4</v>
      </c>
      <c r="AE12" s="87">
        <f t="shared" si="2"/>
        <v>0.10810810810810811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1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3" t="s">
        <v>6</v>
      </c>
      <c r="X15" s="110" t="s">
        <v>110</v>
      </c>
      <c r="Y15" s="110">
        <v>18</v>
      </c>
      <c r="Z15" s="110" t="s">
        <v>312</v>
      </c>
      <c r="AA15" s="111">
        <v>1</v>
      </c>
      <c r="AG15" s="127"/>
    </row>
    <row r="16" spans="1:33" ht="13.8" x14ac:dyDescent="0.3">
      <c r="A16" s="144" t="s">
        <v>26</v>
      </c>
      <c r="B16" s="145" t="s">
        <v>10</v>
      </c>
      <c r="C16" s="145">
        <v>16</v>
      </c>
      <c r="D16" s="145" t="s">
        <v>335</v>
      </c>
      <c r="E16" s="146">
        <f t="shared" si="3"/>
        <v>0.91865112788863534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3" t="s">
        <v>64</v>
      </c>
      <c r="X16" s="110" t="s">
        <v>10</v>
      </c>
      <c r="Y16" s="110">
        <v>16</v>
      </c>
      <c r="Z16" s="110" t="s">
        <v>287</v>
      </c>
      <c r="AA16" s="111">
        <v>1</v>
      </c>
      <c r="AG16" s="127"/>
    </row>
    <row r="17" spans="1:33" ht="13.8" x14ac:dyDescent="0.3">
      <c r="A17" s="81" t="s">
        <v>257</v>
      </c>
      <c r="B17" s="82" t="s">
        <v>10</v>
      </c>
      <c r="C17" s="82">
        <v>16</v>
      </c>
      <c r="D17" s="82" t="s">
        <v>337</v>
      </c>
      <c r="E17" s="102">
        <f t="shared" si="3"/>
        <v>0.94700000000000006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1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3"/>
        <v>0.91042888352305396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3" t="s">
        <v>24</v>
      </c>
      <c r="X18" s="110" t="s">
        <v>28</v>
      </c>
      <c r="Y18" s="110">
        <v>14</v>
      </c>
      <c r="Z18" s="110" t="s">
        <v>323</v>
      </c>
      <c r="AA18" s="111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3"/>
        <v>0.86662573118314323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3" t="s">
        <v>59</v>
      </c>
      <c r="X19" s="110" t="s">
        <v>28</v>
      </c>
      <c r="Y19" s="110">
        <v>14</v>
      </c>
      <c r="Z19" s="110" t="s">
        <v>336</v>
      </c>
      <c r="AA19" s="111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31</v>
      </c>
      <c r="B20" s="80" t="s">
        <v>16</v>
      </c>
      <c r="C20" s="80">
        <v>15</v>
      </c>
      <c r="D20" s="110" t="s">
        <v>288</v>
      </c>
      <c r="E20" s="111">
        <f t="shared" si="3"/>
        <v>0.81254016709511567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83" t="s">
        <v>58</v>
      </c>
      <c r="X20" s="110" t="s">
        <v>49</v>
      </c>
      <c r="Y20" s="110">
        <v>13</v>
      </c>
      <c r="Z20" s="110" t="s">
        <v>275</v>
      </c>
      <c r="AA20" s="11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253</v>
      </c>
      <c r="B21" s="80" t="s">
        <v>16</v>
      </c>
      <c r="C21" s="80">
        <v>15</v>
      </c>
      <c r="D21" s="80" t="s">
        <v>330</v>
      </c>
      <c r="E21" s="101">
        <f t="shared" si="3"/>
        <v>0.83267459864721705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110" t="s">
        <v>16</v>
      </c>
      <c r="Y21" s="110">
        <v>15</v>
      </c>
      <c r="Z21" s="110" t="s">
        <v>317</v>
      </c>
      <c r="AA21" s="11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12</v>
      </c>
      <c r="B22" s="80" t="s">
        <v>16</v>
      </c>
      <c r="C22" s="80">
        <v>15</v>
      </c>
      <c r="D22" s="80" t="s">
        <v>308</v>
      </c>
      <c r="E22" s="101">
        <f t="shared" si="3"/>
        <v>0.36101059894989318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52</v>
      </c>
      <c r="B23" s="80" t="s">
        <v>16</v>
      </c>
      <c r="C23" s="80">
        <v>15</v>
      </c>
      <c r="D23" s="80" t="s">
        <v>280</v>
      </c>
      <c r="E23" s="101">
        <f t="shared" si="3"/>
        <v>0.76017780502759058</v>
      </c>
      <c r="F23" s="65"/>
      <c r="Q23" s="141" t="s">
        <v>288</v>
      </c>
      <c r="R23" s="142">
        <v>0.81254016709511567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1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144" t="s">
        <v>512</v>
      </c>
      <c r="B24" s="145" t="s">
        <v>16</v>
      </c>
      <c r="C24" s="145">
        <v>15</v>
      </c>
      <c r="D24" s="145" t="s">
        <v>511</v>
      </c>
      <c r="E24" s="146">
        <f t="shared" si="3"/>
        <v>0.95294725244456668</v>
      </c>
      <c r="F24" s="65"/>
      <c r="Q24" s="141" t="s">
        <v>289</v>
      </c>
      <c r="R24" s="142">
        <v>0.76510407852428497</v>
      </c>
      <c r="S24" s="141" t="s">
        <v>371</v>
      </c>
      <c r="W24" s="83" t="s">
        <v>265</v>
      </c>
      <c r="X24" s="110" t="s">
        <v>56</v>
      </c>
      <c r="Y24" s="110">
        <v>12</v>
      </c>
      <c r="Z24" s="110" t="s">
        <v>313</v>
      </c>
      <c r="AA24" s="111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3"/>
        <v>0.76907329412838532</v>
      </c>
      <c r="F25" s="65"/>
      <c r="Q25" s="141" t="s">
        <v>290</v>
      </c>
      <c r="R25" s="142">
        <v>0.96341849943457658</v>
      </c>
      <c r="S25" s="143" t="s">
        <v>370</v>
      </c>
      <c r="W25" s="83" t="s">
        <v>54</v>
      </c>
      <c r="X25" s="110" t="s">
        <v>56</v>
      </c>
      <c r="Y25" s="110">
        <v>12</v>
      </c>
      <c r="Z25" s="110" t="s">
        <v>325</v>
      </c>
      <c r="AA25" s="111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23</v>
      </c>
      <c r="B26" s="110" t="s">
        <v>16</v>
      </c>
      <c r="C26" s="110">
        <v>15</v>
      </c>
      <c r="D26" s="110" t="s">
        <v>322</v>
      </c>
      <c r="E26" s="111">
        <f t="shared" si="3"/>
        <v>0.73349447513812149</v>
      </c>
      <c r="F26" s="65"/>
      <c r="Q26" s="141" t="s">
        <v>291</v>
      </c>
      <c r="R26" s="142">
        <v>0.89318320146074259</v>
      </c>
      <c r="S26" s="141" t="s">
        <v>370</v>
      </c>
      <c r="W26" s="83" t="s">
        <v>41</v>
      </c>
      <c r="X26" s="110" t="s">
        <v>28</v>
      </c>
      <c r="Y26" s="110">
        <v>14</v>
      </c>
      <c r="Z26" s="110" t="s">
        <v>321</v>
      </c>
      <c r="AA26" s="111">
        <v>0.99126425624848336</v>
      </c>
      <c r="AG26" s="127"/>
    </row>
    <row r="27" spans="1:33" ht="13.8" x14ac:dyDescent="0.3">
      <c r="A27" s="83" t="s">
        <v>53</v>
      </c>
      <c r="B27" s="80" t="s">
        <v>16</v>
      </c>
      <c r="C27" s="80">
        <v>15</v>
      </c>
      <c r="D27" s="80" t="s">
        <v>317</v>
      </c>
      <c r="E27" s="101">
        <f t="shared" si="3"/>
        <v>0.99967409016838671</v>
      </c>
      <c r="F27" s="69"/>
      <c r="Q27" s="141" t="s">
        <v>292</v>
      </c>
      <c r="R27" s="142">
        <v>1.0292149475019923</v>
      </c>
      <c r="S27" s="141" t="s">
        <v>370</v>
      </c>
      <c r="W27" s="83" t="s">
        <v>75</v>
      </c>
      <c r="X27" s="110" t="s">
        <v>28</v>
      </c>
      <c r="Y27" s="110">
        <v>14</v>
      </c>
      <c r="Z27" s="110" t="s">
        <v>331</v>
      </c>
      <c r="AA27" s="111">
        <v>0.98872477714287255</v>
      </c>
      <c r="AG27" s="127"/>
    </row>
    <row r="28" spans="1:33" ht="13.8" x14ac:dyDescent="0.3">
      <c r="A28" s="83" t="s">
        <v>43</v>
      </c>
      <c r="B28" s="80" t="s">
        <v>16</v>
      </c>
      <c r="C28" s="80">
        <v>15</v>
      </c>
      <c r="D28" s="110" t="s">
        <v>324</v>
      </c>
      <c r="E28" s="111">
        <f t="shared" si="3"/>
        <v>0.61841824770837783</v>
      </c>
      <c r="F28" s="65"/>
      <c r="Q28" s="141" t="s">
        <v>293</v>
      </c>
      <c r="R28" s="142">
        <v>1</v>
      </c>
      <c r="S28" s="141" t="s">
        <v>370</v>
      </c>
      <c r="W28" s="83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11.5</v>
      </c>
      <c r="AG28" s="126"/>
    </row>
    <row r="29" spans="1:33" ht="14.4" thickBot="1" x14ac:dyDescent="0.35">
      <c r="A29" s="83" t="s">
        <v>256</v>
      </c>
      <c r="B29" s="80" t="s">
        <v>16</v>
      </c>
      <c r="C29" s="80">
        <v>15</v>
      </c>
      <c r="D29" s="80" t="s">
        <v>319</v>
      </c>
      <c r="E29" s="101">
        <f t="shared" si="3"/>
        <v>0.85816623707026407</v>
      </c>
      <c r="F29" s="65"/>
      <c r="Q29" s="141" t="s">
        <v>294</v>
      </c>
      <c r="R29" s="142">
        <v>0.11951366732775717</v>
      </c>
      <c r="S29" s="141" t="s">
        <v>86</v>
      </c>
      <c r="W29" s="83" t="s">
        <v>20</v>
      </c>
      <c r="X29" s="110" t="s">
        <v>28</v>
      </c>
      <c r="Y29" s="110">
        <v>14</v>
      </c>
      <c r="Z29" s="110" t="s">
        <v>302</v>
      </c>
      <c r="AA29" s="111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13</v>
      </c>
      <c r="B30" s="80" t="s">
        <v>16</v>
      </c>
      <c r="C30" s="80">
        <v>15</v>
      </c>
      <c r="D30" s="80" t="s">
        <v>326</v>
      </c>
      <c r="E30" s="101">
        <f t="shared" si="3"/>
        <v>0.77444478716841458</v>
      </c>
      <c r="F30" s="65"/>
      <c r="Q30" s="141" t="s">
        <v>295</v>
      </c>
      <c r="R30" s="142">
        <v>0.7886228860092247</v>
      </c>
      <c r="S30" s="141" t="s">
        <v>371</v>
      </c>
      <c r="W30" s="83" t="s">
        <v>14</v>
      </c>
      <c r="X30" s="110" t="s">
        <v>10</v>
      </c>
      <c r="Y30" s="110">
        <v>16</v>
      </c>
      <c r="Z30" s="110" t="s">
        <v>334</v>
      </c>
      <c r="AA30" s="111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3" t="s">
        <v>25</v>
      </c>
      <c r="B31" s="80" t="s">
        <v>16</v>
      </c>
      <c r="C31" s="80">
        <v>15</v>
      </c>
      <c r="D31" s="80" t="s">
        <v>328</v>
      </c>
      <c r="E31" s="101">
        <f t="shared" si="3"/>
        <v>0.66251692368655679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3" t="s">
        <v>264</v>
      </c>
      <c r="X31" s="110" t="s">
        <v>56</v>
      </c>
      <c r="Y31" s="110">
        <v>12</v>
      </c>
      <c r="Z31" s="110" t="s">
        <v>332</v>
      </c>
      <c r="AA31" s="111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62</v>
      </c>
      <c r="B32" s="145" t="s">
        <v>16</v>
      </c>
      <c r="C32" s="145">
        <v>15</v>
      </c>
      <c r="D32" s="145" t="s">
        <v>329</v>
      </c>
      <c r="E32" s="146">
        <f t="shared" si="3"/>
        <v>0.93843994106691131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3" t="s">
        <v>258</v>
      </c>
      <c r="X32" s="110" t="s">
        <v>28</v>
      </c>
      <c r="Y32" s="110">
        <v>14</v>
      </c>
      <c r="Z32" s="110" t="s">
        <v>274</v>
      </c>
      <c r="AA32" s="111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3"/>
        <v>0.96680210088197405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3" t="s">
        <v>19</v>
      </c>
      <c r="X33" s="110" t="s">
        <v>10</v>
      </c>
      <c r="Y33" s="110">
        <v>16</v>
      </c>
      <c r="Z33" s="110" t="s">
        <v>290</v>
      </c>
      <c r="AA33" s="111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55</v>
      </c>
      <c r="B34" s="82" t="s">
        <v>28</v>
      </c>
      <c r="C34" s="82">
        <v>14</v>
      </c>
      <c r="D34" s="82" t="s">
        <v>277</v>
      </c>
      <c r="E34" s="102">
        <f t="shared" si="3"/>
        <v>0.91095138568993894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3" t="s">
        <v>512</v>
      </c>
      <c r="X34" s="110" t="s">
        <v>16</v>
      </c>
      <c r="Y34" s="110">
        <v>15</v>
      </c>
      <c r="Z34" s="110" t="s">
        <v>511</v>
      </c>
      <c r="AA34" s="111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29</v>
      </c>
      <c r="B35" s="82" t="s">
        <v>28</v>
      </c>
      <c r="C35" s="82">
        <v>14</v>
      </c>
      <c r="D35" s="82" t="s">
        <v>285</v>
      </c>
      <c r="E35" s="102">
        <f t="shared" si="3"/>
        <v>0.71562826313957539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3" t="s">
        <v>257</v>
      </c>
      <c r="X35" s="110" t="s">
        <v>10</v>
      </c>
      <c r="Y35" s="110">
        <v>16</v>
      </c>
      <c r="Z35" s="110" t="s">
        <v>337</v>
      </c>
      <c r="AA35" s="111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30</v>
      </c>
      <c r="B36" s="82" t="s">
        <v>28</v>
      </c>
      <c r="C36" s="82">
        <v>14</v>
      </c>
      <c r="D36" s="82" t="s">
        <v>284</v>
      </c>
      <c r="E36" s="102">
        <f t="shared" si="3"/>
        <v>0.91199977892108686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3" t="s">
        <v>62</v>
      </c>
      <c r="X36" s="110" t="s">
        <v>16</v>
      </c>
      <c r="Y36" s="110">
        <v>15</v>
      </c>
      <c r="Z36" s="110" t="s">
        <v>329</v>
      </c>
      <c r="AA36" s="111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3"/>
        <v>1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3" t="s">
        <v>42</v>
      </c>
      <c r="X37" s="110" t="s">
        <v>65</v>
      </c>
      <c r="Y37" s="110">
        <v>10</v>
      </c>
      <c r="Z37" s="110" t="s">
        <v>320</v>
      </c>
      <c r="AA37" s="111">
        <v>0.93520619672453054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3"/>
        <v>0.80341264723043471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83" t="s">
        <v>7</v>
      </c>
      <c r="X38" s="110" t="s">
        <v>2</v>
      </c>
      <c r="Y38" s="110">
        <v>17</v>
      </c>
      <c r="Z38" s="110" t="s">
        <v>327</v>
      </c>
      <c r="AA38" s="111">
        <v>0.92936836749527552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3"/>
        <v>0.58646630934150079</v>
      </c>
      <c r="F39" s="69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110" t="s">
        <v>10</v>
      </c>
      <c r="Y39" s="110">
        <v>16</v>
      </c>
      <c r="Z39" s="110" t="s">
        <v>335</v>
      </c>
      <c r="AA39" s="111">
        <v>0.91865112788863534</v>
      </c>
    </row>
    <row r="40" spans="1:31" ht="13.8" x14ac:dyDescent="0.3">
      <c r="A40" s="81" t="s">
        <v>260</v>
      </c>
      <c r="B40" s="82" t="s">
        <v>28</v>
      </c>
      <c r="C40" s="82">
        <v>14</v>
      </c>
      <c r="D40" s="82" t="s">
        <v>300</v>
      </c>
      <c r="E40" s="102">
        <f t="shared" si="3"/>
        <v>1.0379329114785329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3" t="s">
        <v>30</v>
      </c>
      <c r="X40" s="110" t="s">
        <v>28</v>
      </c>
      <c r="Y40" s="110">
        <v>14</v>
      </c>
      <c r="Z40" s="110" t="s">
        <v>284</v>
      </c>
      <c r="AA40" s="111">
        <v>0.91199977892108686</v>
      </c>
    </row>
    <row r="41" spans="1:31" ht="13.8" x14ac:dyDescent="0.3">
      <c r="A41" s="81" t="s">
        <v>20</v>
      </c>
      <c r="B41" s="82" t="s">
        <v>28</v>
      </c>
      <c r="C41" s="82">
        <v>14</v>
      </c>
      <c r="D41" s="82" t="s">
        <v>302</v>
      </c>
      <c r="E41" s="102">
        <f t="shared" si="3"/>
        <v>0.97697589100213744</v>
      </c>
      <c r="F41" s="65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83" t="s">
        <v>55</v>
      </c>
      <c r="X41" s="110" t="s">
        <v>28</v>
      </c>
      <c r="Y41" s="110">
        <v>14</v>
      </c>
      <c r="Z41" s="110" t="s">
        <v>277</v>
      </c>
      <c r="AA41" s="111">
        <v>0.91095138568993894</v>
      </c>
    </row>
    <row r="42" spans="1:31" ht="13.8" x14ac:dyDescent="0.3">
      <c r="A42" s="81" t="s">
        <v>66</v>
      </c>
      <c r="B42" s="82" t="s">
        <v>28</v>
      </c>
      <c r="C42" s="82">
        <v>14</v>
      </c>
      <c r="D42" s="82" t="s">
        <v>314</v>
      </c>
      <c r="E42" s="102">
        <f t="shared" si="3"/>
        <v>0.99569209153466032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110" t="s">
        <v>16</v>
      </c>
      <c r="Y42" s="110">
        <v>15</v>
      </c>
      <c r="Z42" s="110" t="s">
        <v>276</v>
      </c>
      <c r="AA42" s="111">
        <v>0.91042888352305396</v>
      </c>
    </row>
    <row r="43" spans="1:31" ht="13.8" x14ac:dyDescent="0.3">
      <c r="A43" s="144" t="s">
        <v>41</v>
      </c>
      <c r="B43" s="145" t="s">
        <v>28</v>
      </c>
      <c r="C43" s="145">
        <v>14</v>
      </c>
      <c r="D43" s="145" t="s">
        <v>321</v>
      </c>
      <c r="E43" s="146">
        <f t="shared" si="3"/>
        <v>0.99126425624848336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3" t="s">
        <v>3</v>
      </c>
      <c r="X43" s="110" t="s">
        <v>10</v>
      </c>
      <c r="Y43" s="110">
        <v>16</v>
      </c>
      <c r="Z43" s="110" t="s">
        <v>291</v>
      </c>
      <c r="AA43" s="111">
        <v>0.89318320146074259</v>
      </c>
    </row>
    <row r="44" spans="1:31" ht="13.8" x14ac:dyDescent="0.3">
      <c r="A44" s="81" t="s">
        <v>24</v>
      </c>
      <c r="B44" s="82" t="s">
        <v>28</v>
      </c>
      <c r="C44" s="82">
        <v>14</v>
      </c>
      <c r="D44" s="82" t="s">
        <v>323</v>
      </c>
      <c r="E44" s="102">
        <f t="shared" si="3"/>
        <v>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83" t="s">
        <v>60</v>
      </c>
      <c r="X44" s="110" t="s">
        <v>49</v>
      </c>
      <c r="Y44" s="110">
        <v>13</v>
      </c>
      <c r="Z44" s="110" t="s">
        <v>283</v>
      </c>
      <c r="AA44" s="111">
        <v>0.89235399590163933</v>
      </c>
    </row>
    <row r="45" spans="1:31" ht="13.8" x14ac:dyDescent="0.3">
      <c r="A45" s="81" t="s">
        <v>45</v>
      </c>
      <c r="B45" s="82" t="s">
        <v>28</v>
      </c>
      <c r="C45" s="82">
        <v>14</v>
      </c>
      <c r="D45" s="82" t="s">
        <v>318</v>
      </c>
      <c r="E45" s="102">
        <f t="shared" si="3"/>
        <v>0.5641445718679996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83" t="s">
        <v>263</v>
      </c>
      <c r="X45" s="110" t="s">
        <v>2</v>
      </c>
      <c r="Y45" s="110">
        <v>17</v>
      </c>
      <c r="Z45" s="110" t="s">
        <v>282</v>
      </c>
      <c r="AA45" s="111">
        <v>0.89001113183270453</v>
      </c>
    </row>
    <row r="46" spans="1:31" ht="13.8" x14ac:dyDescent="0.3">
      <c r="A46" s="81" t="s">
        <v>75</v>
      </c>
      <c r="B46" s="82" t="s">
        <v>28</v>
      </c>
      <c r="C46" s="82">
        <v>14</v>
      </c>
      <c r="D46" s="82" t="s">
        <v>331</v>
      </c>
      <c r="E46" s="102">
        <f t="shared" si="3"/>
        <v>0.98872477714287255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110" t="s">
        <v>16</v>
      </c>
      <c r="Y46" s="110">
        <v>15</v>
      </c>
      <c r="Z46" s="110" t="s">
        <v>306</v>
      </c>
      <c r="AA46" s="111">
        <v>0.86662573118314323</v>
      </c>
    </row>
    <row r="47" spans="1:31" ht="13.8" x14ac:dyDescent="0.3">
      <c r="A47" s="81" t="s">
        <v>59</v>
      </c>
      <c r="B47" s="82" t="s">
        <v>28</v>
      </c>
      <c r="C47" s="82">
        <v>14</v>
      </c>
      <c r="D47" s="82" t="s">
        <v>336</v>
      </c>
      <c r="E47" s="102">
        <f t="shared" ref="E47:E67" si="6">VLOOKUP($D47,$Q$7:$R$68,2,0)</f>
        <v>1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110" t="s">
        <v>16</v>
      </c>
      <c r="Y47" s="110">
        <v>15</v>
      </c>
      <c r="Z47" s="110" t="s">
        <v>319</v>
      </c>
      <c r="AA47" s="111">
        <v>0.85816623707026407</v>
      </c>
    </row>
    <row r="48" spans="1:31" ht="13.8" x14ac:dyDescent="0.3">
      <c r="A48" s="79" t="s">
        <v>9</v>
      </c>
      <c r="B48" s="80" t="s">
        <v>49</v>
      </c>
      <c r="C48" s="80">
        <v>13</v>
      </c>
      <c r="D48" s="80" t="s">
        <v>273</v>
      </c>
      <c r="E48" s="101">
        <f t="shared" si="6"/>
        <v>0.84669359982989578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83" t="s">
        <v>9</v>
      </c>
      <c r="X48" s="110" t="s">
        <v>49</v>
      </c>
      <c r="Y48" s="110">
        <v>13</v>
      </c>
      <c r="Z48" s="110" t="s">
        <v>273</v>
      </c>
      <c r="AA48" s="111">
        <v>0.84669359982989578</v>
      </c>
    </row>
    <row r="49" spans="1:27" ht="13.8" x14ac:dyDescent="0.3">
      <c r="A49" s="79" t="s">
        <v>48</v>
      </c>
      <c r="B49" s="80" t="s">
        <v>49</v>
      </c>
      <c r="C49" s="80">
        <v>13</v>
      </c>
      <c r="D49" s="80" t="s">
        <v>279</v>
      </c>
      <c r="E49" s="101">
        <f t="shared" si="6"/>
        <v>0.68875112521618576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110" t="s">
        <v>16</v>
      </c>
      <c r="Y49" s="110">
        <v>15</v>
      </c>
      <c r="Z49" s="110" t="s">
        <v>330</v>
      </c>
      <c r="AA49" s="111">
        <v>0.83267459864721705</v>
      </c>
    </row>
    <row r="50" spans="1:27" ht="13.8" x14ac:dyDescent="0.3">
      <c r="A50" s="79" t="s">
        <v>60</v>
      </c>
      <c r="B50" s="80" t="s">
        <v>49</v>
      </c>
      <c r="C50" s="80">
        <v>13</v>
      </c>
      <c r="D50" s="80" t="s">
        <v>283</v>
      </c>
      <c r="E50" s="101">
        <f t="shared" si="6"/>
        <v>0.89235399590163933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110" t="s">
        <v>16</v>
      </c>
      <c r="Y50" s="110">
        <v>15</v>
      </c>
      <c r="Z50" s="110" t="s">
        <v>288</v>
      </c>
      <c r="AA50" s="111">
        <v>0.81254016709511567</v>
      </c>
    </row>
    <row r="51" spans="1:27" ht="13.8" x14ac:dyDescent="0.3">
      <c r="A51" s="83" t="s">
        <v>259</v>
      </c>
      <c r="B51" s="110" t="s">
        <v>49</v>
      </c>
      <c r="C51" s="110">
        <v>13</v>
      </c>
      <c r="D51" s="110" t="s">
        <v>281</v>
      </c>
      <c r="E51" s="111">
        <f t="shared" si="6"/>
        <v>0.33305692234682915</v>
      </c>
      <c r="F51" s="69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3" t="s">
        <v>36</v>
      </c>
      <c r="X51" s="110" t="s">
        <v>28</v>
      </c>
      <c r="Y51" s="110">
        <v>14</v>
      </c>
      <c r="Z51" s="110" t="s">
        <v>296</v>
      </c>
      <c r="AA51" s="111">
        <v>0.80341264723043471</v>
      </c>
    </row>
    <row r="52" spans="1:27" ht="13.8" x14ac:dyDescent="0.3">
      <c r="A52" s="79" t="s">
        <v>57</v>
      </c>
      <c r="B52" s="80" t="s">
        <v>49</v>
      </c>
      <c r="C52" s="80">
        <v>13</v>
      </c>
      <c r="D52" s="80" t="s">
        <v>295</v>
      </c>
      <c r="E52" s="101">
        <f t="shared" si="6"/>
        <v>0.7886228860092247</v>
      </c>
      <c r="F52" s="65"/>
      <c r="Q52" s="141" t="s">
        <v>321</v>
      </c>
      <c r="R52" s="142">
        <v>0.99126425624848336</v>
      </c>
      <c r="S52" s="141" t="s">
        <v>370</v>
      </c>
      <c r="W52" s="83" t="s">
        <v>57</v>
      </c>
      <c r="X52" s="110" t="s">
        <v>49</v>
      </c>
      <c r="Y52" s="110">
        <v>13</v>
      </c>
      <c r="Z52" s="110" t="s">
        <v>295</v>
      </c>
      <c r="AA52" s="111">
        <v>0.7886228860092247</v>
      </c>
    </row>
    <row r="53" spans="1:27" ht="13.8" x14ac:dyDescent="0.3">
      <c r="A53" s="79" t="s">
        <v>35</v>
      </c>
      <c r="B53" s="80" t="s">
        <v>49</v>
      </c>
      <c r="C53" s="80">
        <v>13</v>
      </c>
      <c r="D53" s="80" t="s">
        <v>292</v>
      </c>
      <c r="E53" s="101">
        <f t="shared" si="6"/>
        <v>1.0292149475019923</v>
      </c>
      <c r="F53" s="65"/>
      <c r="Q53" s="141" t="s">
        <v>322</v>
      </c>
      <c r="R53" s="142">
        <v>0.73349447513812149</v>
      </c>
      <c r="S53" s="141" t="s">
        <v>371</v>
      </c>
      <c r="W53" s="83" t="s">
        <v>262</v>
      </c>
      <c r="X53" s="110" t="s">
        <v>108</v>
      </c>
      <c r="Y53" s="110">
        <v>19</v>
      </c>
      <c r="Z53" s="110" t="s">
        <v>309</v>
      </c>
      <c r="AA53" s="111">
        <v>0.78418126509511765</v>
      </c>
    </row>
    <row r="54" spans="1:27" ht="13.8" x14ac:dyDescent="0.3">
      <c r="A54" s="79" t="s">
        <v>51</v>
      </c>
      <c r="B54" s="80" t="s">
        <v>49</v>
      </c>
      <c r="C54" s="80">
        <v>13</v>
      </c>
      <c r="D54" s="80" t="s">
        <v>298</v>
      </c>
      <c r="E54" s="101">
        <f t="shared" si="6"/>
        <v>0.64970550208303401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110" t="s">
        <v>16</v>
      </c>
      <c r="Y54" s="110">
        <v>15</v>
      </c>
      <c r="Z54" s="110" t="s">
        <v>326</v>
      </c>
      <c r="AA54" s="111">
        <v>0.77444478716841458</v>
      </c>
    </row>
    <row r="55" spans="1:27" ht="13.8" x14ac:dyDescent="0.3">
      <c r="A55" s="83" t="s">
        <v>39</v>
      </c>
      <c r="B55" s="80" t="s">
        <v>49</v>
      </c>
      <c r="C55" s="80">
        <v>13</v>
      </c>
      <c r="D55" s="110" t="s">
        <v>301</v>
      </c>
      <c r="E55" s="111">
        <f t="shared" si="6"/>
        <v>0.47637430521244206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110" t="s">
        <v>16</v>
      </c>
      <c r="Y55" s="110">
        <v>15</v>
      </c>
      <c r="Z55" s="110" t="s">
        <v>315</v>
      </c>
      <c r="AA55" s="111">
        <v>0.76907329412838532</v>
      </c>
    </row>
    <row r="56" spans="1:27" ht="13.8" x14ac:dyDescent="0.3">
      <c r="A56" s="79" t="s">
        <v>58</v>
      </c>
      <c r="B56" s="80" t="s">
        <v>49</v>
      </c>
      <c r="C56" s="80">
        <v>13</v>
      </c>
      <c r="D56" s="80" t="s">
        <v>275</v>
      </c>
      <c r="E56" s="101">
        <f t="shared" si="6"/>
        <v>1</v>
      </c>
      <c r="F56" s="65"/>
      <c r="Q56" s="141" t="s">
        <v>325</v>
      </c>
      <c r="R56" s="142">
        <v>0.99461817608484948</v>
      </c>
      <c r="S56" s="141" t="s">
        <v>370</v>
      </c>
      <c r="W56" s="83" t="s">
        <v>32</v>
      </c>
      <c r="X56" s="110" t="s">
        <v>10</v>
      </c>
      <c r="Y56" s="110">
        <v>16</v>
      </c>
      <c r="Z56" s="110" t="s">
        <v>289</v>
      </c>
      <c r="AA56" s="111">
        <v>0.76510407852428497</v>
      </c>
    </row>
    <row r="57" spans="1:27" ht="13.8" x14ac:dyDescent="0.3">
      <c r="A57" s="79" t="s">
        <v>40</v>
      </c>
      <c r="B57" s="80" t="s">
        <v>49</v>
      </c>
      <c r="C57" s="80">
        <v>13</v>
      </c>
      <c r="D57" s="80" t="s">
        <v>310</v>
      </c>
      <c r="E57" s="101">
        <f t="shared" si="6"/>
        <v>0.57845507252191697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110" t="s">
        <v>16</v>
      </c>
      <c r="Y57" s="110">
        <v>15</v>
      </c>
      <c r="Z57" s="110" t="s">
        <v>280</v>
      </c>
      <c r="AA57" s="111">
        <v>0.76017780502759058</v>
      </c>
    </row>
    <row r="58" spans="1:27" ht="13.8" x14ac:dyDescent="0.3">
      <c r="A58" s="79" t="s">
        <v>22</v>
      </c>
      <c r="B58" s="80" t="s">
        <v>49</v>
      </c>
      <c r="C58" s="80">
        <v>13</v>
      </c>
      <c r="D58" s="80" t="s">
        <v>316</v>
      </c>
      <c r="E58" s="101">
        <f t="shared" si="6"/>
        <v>0.62481029959532464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3" t="s">
        <v>29</v>
      </c>
      <c r="X59" s="110" t="s">
        <v>28</v>
      </c>
      <c r="Y59" s="110">
        <v>14</v>
      </c>
      <c r="Z59" s="110" t="s">
        <v>285</v>
      </c>
      <c r="AA59" s="111">
        <v>0.71562826313957539</v>
      </c>
    </row>
    <row r="60" spans="1:27" ht="13.8" x14ac:dyDescent="0.3">
      <c r="A60" s="81" t="s">
        <v>265</v>
      </c>
      <c r="B60" s="82" t="s">
        <v>56</v>
      </c>
      <c r="C60" s="82">
        <v>12</v>
      </c>
      <c r="D60" s="82" t="s">
        <v>313</v>
      </c>
      <c r="E60" s="102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83" t="s">
        <v>48</v>
      </c>
      <c r="X60" s="110" t="s">
        <v>49</v>
      </c>
      <c r="Y60" s="110">
        <v>13</v>
      </c>
      <c r="Z60" s="110" t="s">
        <v>279</v>
      </c>
      <c r="AA60" s="11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110" t="s">
        <v>16</v>
      </c>
      <c r="Y61" s="110">
        <v>15</v>
      </c>
      <c r="Z61" s="110" t="s">
        <v>328</v>
      </c>
      <c r="AA61" s="111">
        <v>0.66251692368655679</v>
      </c>
    </row>
    <row r="62" spans="1:27" ht="14.4" thickBot="1" x14ac:dyDescent="0.35">
      <c r="A62" s="211" t="s">
        <v>248</v>
      </c>
      <c r="B62" s="212" t="s">
        <v>125</v>
      </c>
      <c r="C62" s="212">
        <v>5</v>
      </c>
      <c r="D62" s="212" t="s">
        <v>294</v>
      </c>
      <c r="E62" s="213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83" t="s">
        <v>51</v>
      </c>
      <c r="X62" s="110" t="s">
        <v>49</v>
      </c>
      <c r="Y62" s="110">
        <v>13</v>
      </c>
      <c r="Z62" s="110" t="s">
        <v>298</v>
      </c>
      <c r="AA62" s="11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3" t="s">
        <v>18</v>
      </c>
      <c r="X63" s="110" t="s">
        <v>10</v>
      </c>
      <c r="Y63" s="110">
        <v>16</v>
      </c>
      <c r="Z63" s="110" t="s">
        <v>86</v>
      </c>
      <c r="AA63" s="111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83" t="s">
        <v>67</v>
      </c>
      <c r="X64" s="110" t="s">
        <v>49</v>
      </c>
      <c r="Y64" s="110">
        <v>13</v>
      </c>
      <c r="Z64" s="110" t="s">
        <v>278</v>
      </c>
      <c r="AA64" s="11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83" t="s">
        <v>22</v>
      </c>
      <c r="X65" s="110" t="s">
        <v>49</v>
      </c>
      <c r="Y65" s="110">
        <v>13</v>
      </c>
      <c r="Z65" s="110" t="s">
        <v>316</v>
      </c>
      <c r="AA65" s="11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110" t="s">
        <v>16</v>
      </c>
      <c r="Y66" s="11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3" t="s">
        <v>11</v>
      </c>
      <c r="X67" s="110" t="s">
        <v>28</v>
      </c>
      <c r="Y67" s="110">
        <v>14</v>
      </c>
      <c r="Z67" s="110" t="s">
        <v>297</v>
      </c>
      <c r="AA67" s="111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14.214285714285714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83" t="s">
        <v>40</v>
      </c>
      <c r="X68" s="110" t="s">
        <v>49</v>
      </c>
      <c r="Y68" s="110">
        <v>13</v>
      </c>
      <c r="Z68" s="110" t="s">
        <v>310</v>
      </c>
      <c r="AA68" s="111">
        <v>0.57845507252191697</v>
      </c>
    </row>
    <row r="69" spans="1:27" ht="13.8" x14ac:dyDescent="0.3">
      <c r="A69" s="7"/>
      <c r="B69" s="5"/>
      <c r="F69" s="9"/>
      <c r="Q69" s="141"/>
      <c r="R69" s="142"/>
      <c r="S69" s="141"/>
      <c r="W69" s="83" t="s">
        <v>45</v>
      </c>
      <c r="X69" s="110" t="s">
        <v>28</v>
      </c>
      <c r="Y69" s="110">
        <v>14</v>
      </c>
      <c r="Z69" s="110" t="s">
        <v>318</v>
      </c>
      <c r="AA69" s="111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3" t="s">
        <v>369</v>
      </c>
      <c r="X70" s="110" t="s">
        <v>10</v>
      </c>
      <c r="Y70" s="110">
        <v>16</v>
      </c>
      <c r="Z70" s="110" t="s">
        <v>368</v>
      </c>
      <c r="AA70" s="111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110" t="s">
        <v>49</v>
      </c>
      <c r="Y71" s="11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110" t="s">
        <v>16</v>
      </c>
      <c r="Y72" s="110">
        <v>15</v>
      </c>
      <c r="Z72" s="110" t="s">
        <v>308</v>
      </c>
      <c r="AA72" s="11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125</v>
      </c>
      <c r="Y74" s="158">
        <v>5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"/>
      <c r="B80" s="1"/>
      <c r="C80" s="4"/>
      <c r="D80" s="4"/>
      <c r="E80" s="4"/>
      <c r="F80" s="1"/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4"/>
      <c r="F82" s="1"/>
      <c r="G82" s="1"/>
      <c r="W82" s="1"/>
      <c r="X82" s="1"/>
      <c r="Y82" s="1"/>
      <c r="Z82" s="1"/>
      <c r="AA82" s="1"/>
    </row>
    <row r="83" spans="1:27" x14ac:dyDescent="0.25">
      <c r="Q83" s="133"/>
      <c r="R83" s="133"/>
      <c r="S83" s="133"/>
      <c r="AA83" s="1"/>
    </row>
    <row r="84" spans="1:27" x14ac:dyDescent="0.25">
      <c r="AA84" s="1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20">
    <tabColor rgb="FF002060"/>
    <pageSetUpPr fitToPage="1"/>
  </sheetPr>
  <dimension ref="A1:AH84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378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150" t="s">
        <v>0</v>
      </c>
      <c r="B6" s="151" t="s">
        <v>379</v>
      </c>
      <c r="C6" s="152"/>
      <c r="D6" s="152"/>
      <c r="E6" s="153">
        <v>40543</v>
      </c>
      <c r="W6" s="150" t="s">
        <v>0</v>
      </c>
      <c r="X6" s="151" t="s">
        <v>379</v>
      </c>
      <c r="Y6" s="152"/>
      <c r="Z6" s="152"/>
      <c r="AA6" s="153">
        <v>40543</v>
      </c>
      <c r="AC6" s="108" t="s">
        <v>137</v>
      </c>
      <c r="AD6" s="109"/>
      <c r="AE6" s="109"/>
      <c r="AF6" s="77">
        <f>AVERAGE(Y$13:Y$51)</f>
        <v>14.324324324324325</v>
      </c>
      <c r="AG6" s="126"/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VLOOKUP($D7,$Q$7:$R$68,2,0)</f>
        <v>1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0.84669359982989578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0.92936836749527552</v>
      </c>
      <c r="F8" s="65"/>
      <c r="G8" s="72" t="s">
        <v>138</v>
      </c>
      <c r="H8" s="86">
        <f>COUNTIF(C$7:C$67,"&gt;16")</f>
        <v>4</v>
      </c>
      <c r="I8" s="87">
        <f>H8/H$14</f>
        <v>6.7796610169491525E-2</v>
      </c>
      <c r="K8" s="66"/>
      <c r="M8" s="66"/>
      <c r="N8" s="66"/>
      <c r="O8" s="67"/>
      <c r="Q8" s="141" t="s">
        <v>274</v>
      </c>
      <c r="R8" s="142">
        <v>0.96680210088197405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COUNTIF(Y$13:Y$51,"&gt;16")</f>
        <v>3</v>
      </c>
      <c r="AE8" s="87">
        <f>AD8/AD$14</f>
        <v>8.1081081081081086E-2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0.89318320146074259</v>
      </c>
      <c r="F9" s="65"/>
      <c r="G9" s="72" t="s">
        <v>10</v>
      </c>
      <c r="H9" s="86">
        <f>COUNTIF(C$7:C$67,"=16")</f>
        <v>8</v>
      </c>
      <c r="I9" s="87">
        <f t="shared" ref="I9:I14" si="1">H9/H$14</f>
        <v>0.13559322033898305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COUNTIF(Y$13:Y$51,"=16")</f>
        <v>5</v>
      </c>
      <c r="AE9" s="87">
        <f t="shared" ref="AE9:AE14" si="2">AD9/AD$14</f>
        <v>0.13513513513513514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0.63157463237392464</v>
      </c>
      <c r="F10" s="65"/>
      <c r="G10" s="72" t="s">
        <v>16</v>
      </c>
      <c r="H10" s="86">
        <f>COUNTIF(C$7:C$67,"=15")</f>
        <v>14</v>
      </c>
      <c r="I10" s="87">
        <f t="shared" si="1"/>
        <v>0.23728813559322035</v>
      </c>
      <c r="K10" s="66"/>
      <c r="M10" s="66"/>
      <c r="N10" s="66"/>
      <c r="O10" s="67"/>
      <c r="Q10" s="141" t="s">
        <v>276</v>
      </c>
      <c r="R10" s="142">
        <v>0.91042888352305396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COUNTIF(Y$13:Y$51,"=15")</f>
        <v>7</v>
      </c>
      <c r="AE10" s="87">
        <f t="shared" si="2"/>
        <v>0.1891891891891892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COUNTIF(C$7:C$67,"=14")</f>
        <v>16</v>
      </c>
      <c r="I11" s="87">
        <f t="shared" si="1"/>
        <v>0.2711864406779661</v>
      </c>
      <c r="K11" s="67"/>
      <c r="L11" s="4"/>
      <c r="M11" s="67"/>
      <c r="N11" s="67"/>
      <c r="O11" s="67"/>
      <c r="Q11" s="141" t="s">
        <v>277</v>
      </c>
      <c r="R11" s="142">
        <v>0.91095138568993894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COUNTIF(Y$13:Y$51,"=14")</f>
        <v>13</v>
      </c>
      <c r="AE11" s="87">
        <f t="shared" si="2"/>
        <v>0.35135135135135137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0.76510407852428497</v>
      </c>
      <c r="F12" s="65"/>
      <c r="G12" s="72" t="s">
        <v>49</v>
      </c>
      <c r="H12" s="86">
        <f>COUNTIF(C$7:C$67,"=13")</f>
        <v>12</v>
      </c>
      <c r="I12" s="87">
        <f t="shared" si="1"/>
        <v>0.20338983050847459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COUNTIF(Y$13:Y$51,"=13")</f>
        <v>5</v>
      </c>
      <c r="AE12" s="87">
        <f t="shared" si="2"/>
        <v>0.13513513513513514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COUNTIF(C$7:C$67,"&lt;13")</f>
        <v>5</v>
      </c>
      <c r="I13" s="95">
        <f t="shared" si="1"/>
        <v>8.4745762711864403E-2</v>
      </c>
      <c r="Q13" s="141" t="s">
        <v>279</v>
      </c>
      <c r="R13" s="142">
        <v>0.68875112521618576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1.0379329114785329</v>
      </c>
      <c r="AC13" s="93" t="s">
        <v>79</v>
      </c>
      <c r="AD13" s="94">
        <f>COUNTIF(Y$13:Y$51,"&lt;13")</f>
        <v>4</v>
      </c>
      <c r="AE13" s="95">
        <f t="shared" si="2"/>
        <v>0.10810810810810811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0.541533003736272</v>
      </c>
      <c r="F14" s="65"/>
      <c r="G14" s="88" t="s">
        <v>80</v>
      </c>
      <c r="H14" s="89">
        <f>SUM(H8:H13)</f>
        <v>59</v>
      </c>
      <c r="I14" s="90">
        <f t="shared" si="1"/>
        <v>1</v>
      </c>
      <c r="Q14" s="141" t="s">
        <v>280</v>
      </c>
      <c r="R14" s="142">
        <v>0.76017780502759058</v>
      </c>
      <c r="S14" s="143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1.0292149475019923</v>
      </c>
      <c r="AC14" s="88" t="s">
        <v>80</v>
      </c>
      <c r="AD14" s="89">
        <f>SUM(AD8:AD13)</f>
        <v>37</v>
      </c>
      <c r="AE14" s="90">
        <f t="shared" si="2"/>
        <v>1</v>
      </c>
      <c r="AG14" s="127"/>
    </row>
    <row r="15" spans="1:33" ht="13.8" x14ac:dyDescent="0.3">
      <c r="A15" s="81" t="s">
        <v>14</v>
      </c>
      <c r="B15" s="82" t="s">
        <v>10</v>
      </c>
      <c r="C15" s="82">
        <v>16</v>
      </c>
      <c r="D15" s="82" t="s">
        <v>334</v>
      </c>
      <c r="E15" s="102">
        <f t="shared" ref="E15:E46" si="3">VLOOKUP($D15,$Q$7:$R$68,2,0)</f>
        <v>0.975461842272901</v>
      </c>
      <c r="F15" s="65"/>
      <c r="K15" s="9"/>
      <c r="Q15" s="141" t="s">
        <v>281</v>
      </c>
      <c r="R15" s="142">
        <v>0.33305692234682915</v>
      </c>
      <c r="S15" s="141" t="s">
        <v>86</v>
      </c>
      <c r="W15" s="81" t="s">
        <v>6</v>
      </c>
      <c r="X15" s="82" t="s">
        <v>110</v>
      </c>
      <c r="Y15" s="82">
        <v>18</v>
      </c>
      <c r="Z15" s="82" t="s">
        <v>312</v>
      </c>
      <c r="AA15" s="102">
        <v>1</v>
      </c>
      <c r="AG15" s="127"/>
    </row>
    <row r="16" spans="1:33" ht="13.8" x14ac:dyDescent="0.3">
      <c r="A16" s="81" t="s">
        <v>257</v>
      </c>
      <c r="B16" s="82" t="s">
        <v>10</v>
      </c>
      <c r="C16" s="82">
        <v>16</v>
      </c>
      <c r="D16" s="82" t="s">
        <v>337</v>
      </c>
      <c r="E16" s="102">
        <f t="shared" si="3"/>
        <v>0.94700000000000006</v>
      </c>
      <c r="F16" s="65"/>
      <c r="K16" s="9"/>
      <c r="L16" s="4"/>
      <c r="Q16" s="141" t="s">
        <v>282</v>
      </c>
      <c r="R16" s="142">
        <v>0.89001113183270453</v>
      </c>
      <c r="S16" s="143" t="s">
        <v>370</v>
      </c>
      <c r="W16" s="81" t="s">
        <v>64</v>
      </c>
      <c r="X16" s="82" t="s">
        <v>10</v>
      </c>
      <c r="Y16" s="82">
        <v>16</v>
      </c>
      <c r="Z16" s="82" t="s">
        <v>287</v>
      </c>
      <c r="AA16" s="102">
        <v>1</v>
      </c>
      <c r="AG16" s="127"/>
    </row>
    <row r="17" spans="1:33" ht="13.8" x14ac:dyDescent="0.3">
      <c r="A17" s="83" t="s">
        <v>15</v>
      </c>
      <c r="B17" s="80" t="s">
        <v>16</v>
      </c>
      <c r="C17" s="80">
        <v>15</v>
      </c>
      <c r="D17" s="80" t="s">
        <v>276</v>
      </c>
      <c r="E17" s="101">
        <f t="shared" si="3"/>
        <v>0.91042888352305396</v>
      </c>
      <c r="F17" s="65"/>
      <c r="K17" s="9"/>
      <c r="L17" s="4"/>
      <c r="Q17" s="141" t="s">
        <v>283</v>
      </c>
      <c r="R17" s="142">
        <v>0.89235399590163933</v>
      </c>
      <c r="S17" s="141" t="s">
        <v>370</v>
      </c>
      <c r="W17" s="81" t="s">
        <v>34</v>
      </c>
      <c r="X17" s="82" t="s">
        <v>28</v>
      </c>
      <c r="Y17" s="82">
        <v>14</v>
      </c>
      <c r="Z17" s="82" t="s">
        <v>293</v>
      </c>
      <c r="AA17" s="102">
        <v>1</v>
      </c>
      <c r="AC17" s="108" t="s">
        <v>139</v>
      </c>
      <c r="AD17" s="109"/>
      <c r="AE17" s="109"/>
      <c r="AF17" s="77">
        <f>AVERAGE(Y$52:Y$70)</f>
        <v>14.578947368421053</v>
      </c>
      <c r="AG17" s="126"/>
    </row>
    <row r="18" spans="1:33" ht="14.4" thickBot="1" x14ac:dyDescent="0.35">
      <c r="A18" s="83" t="s">
        <v>17</v>
      </c>
      <c r="B18" s="80" t="s">
        <v>16</v>
      </c>
      <c r="C18" s="80">
        <v>15</v>
      </c>
      <c r="D18" s="80" t="s">
        <v>306</v>
      </c>
      <c r="E18" s="101">
        <f t="shared" si="3"/>
        <v>0.86662573118314323</v>
      </c>
      <c r="F18" s="65"/>
      <c r="K18" s="9"/>
      <c r="L18" s="4"/>
      <c r="N18" s="4"/>
      <c r="Q18" s="141" t="s">
        <v>284</v>
      </c>
      <c r="R18" s="142">
        <v>0.91199977892108686</v>
      </c>
      <c r="S18" s="141" t="s">
        <v>370</v>
      </c>
      <c r="W18" s="81" t="s">
        <v>24</v>
      </c>
      <c r="X18" s="82" t="s">
        <v>28</v>
      </c>
      <c r="Y18" s="82">
        <v>14</v>
      </c>
      <c r="Z18" s="82" t="s">
        <v>323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31</v>
      </c>
      <c r="B19" s="80" t="s">
        <v>16</v>
      </c>
      <c r="C19" s="80">
        <v>15</v>
      </c>
      <c r="D19" s="110" t="s">
        <v>288</v>
      </c>
      <c r="E19" s="111">
        <f t="shared" si="3"/>
        <v>0.81254016709511567</v>
      </c>
      <c r="F19" s="69"/>
      <c r="K19" s="9"/>
      <c r="L19" s="4"/>
      <c r="N19" s="4"/>
      <c r="Q19" s="141" t="s">
        <v>285</v>
      </c>
      <c r="R19" s="142">
        <v>0.71562826313957539</v>
      </c>
      <c r="S19" s="141" t="s">
        <v>371</v>
      </c>
      <c r="W19" s="81" t="s">
        <v>59</v>
      </c>
      <c r="X19" s="82" t="s">
        <v>28</v>
      </c>
      <c r="Y19" s="82">
        <v>14</v>
      </c>
      <c r="Z19" s="82" t="s">
        <v>336</v>
      </c>
      <c r="AA19" s="102">
        <v>1</v>
      </c>
      <c r="AC19" s="72" t="s">
        <v>138</v>
      </c>
      <c r="AD19" s="86">
        <f>COUNTIF(Y$52:Y$70,"&gt;16")</f>
        <v>1</v>
      </c>
      <c r="AE19" s="87">
        <f>AD19/AD$25</f>
        <v>5.2631578947368418E-2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3"/>
        <v>0.83267459864721705</v>
      </c>
      <c r="F20" s="65"/>
      <c r="K20" s="9"/>
      <c r="L20" s="4"/>
      <c r="N20" s="4"/>
      <c r="Q20" s="141" t="s">
        <v>286</v>
      </c>
      <c r="R20" s="142">
        <v>0.99609846555590886</v>
      </c>
      <c r="S20" s="143" t="s">
        <v>370</v>
      </c>
      <c r="W20" s="79" t="s">
        <v>58</v>
      </c>
      <c r="X20" s="80" t="s">
        <v>49</v>
      </c>
      <c r="Y20" s="80">
        <v>13</v>
      </c>
      <c r="Z20" s="80" t="s">
        <v>275</v>
      </c>
      <c r="AA20" s="101">
        <v>1</v>
      </c>
      <c r="AC20" s="72" t="s">
        <v>10</v>
      </c>
      <c r="AD20" s="86">
        <f>COUNTIF(Y$52:Y$70,"=16")</f>
        <v>3</v>
      </c>
      <c r="AE20" s="87">
        <f t="shared" ref="AE20:AE25" si="4">AD20/AD$25</f>
        <v>0.15789473684210525</v>
      </c>
      <c r="AG20" s="127"/>
    </row>
    <row r="21" spans="1:33" ht="13.8" x14ac:dyDescent="0.3">
      <c r="A21" s="83" t="s">
        <v>12</v>
      </c>
      <c r="B21" s="80" t="s">
        <v>16</v>
      </c>
      <c r="C21" s="80">
        <v>15</v>
      </c>
      <c r="D21" s="80" t="s">
        <v>308</v>
      </c>
      <c r="E21" s="101">
        <f t="shared" si="3"/>
        <v>0.36101059894989318</v>
      </c>
      <c r="F21" s="65"/>
      <c r="Q21" s="141" t="s">
        <v>86</v>
      </c>
      <c r="R21" s="142">
        <v>0.63157463237392464</v>
      </c>
      <c r="S21" s="141" t="s">
        <v>371</v>
      </c>
      <c r="W21" s="83" t="s">
        <v>53</v>
      </c>
      <c r="X21" s="80" t="s">
        <v>16</v>
      </c>
      <c r="Y21" s="80">
        <v>15</v>
      </c>
      <c r="Z21" s="80" t="s">
        <v>317</v>
      </c>
      <c r="AA21" s="101">
        <v>0.99967409016838671</v>
      </c>
      <c r="AC21" s="72" t="s">
        <v>16</v>
      </c>
      <c r="AD21" s="86">
        <f>COUNTIF(Y$52:Y$70,"=15")</f>
        <v>6</v>
      </c>
      <c r="AE21" s="87">
        <f t="shared" si="4"/>
        <v>0.31578947368421051</v>
      </c>
      <c r="AG21" s="127"/>
    </row>
    <row r="22" spans="1:33" ht="13.8" x14ac:dyDescent="0.3">
      <c r="A22" s="83" t="s">
        <v>52</v>
      </c>
      <c r="B22" s="80" t="s">
        <v>16</v>
      </c>
      <c r="C22" s="80">
        <v>15</v>
      </c>
      <c r="D22" s="80" t="s">
        <v>280</v>
      </c>
      <c r="E22" s="101">
        <f t="shared" si="3"/>
        <v>0.76017780502759058</v>
      </c>
      <c r="F22" s="65"/>
      <c r="Q22" s="141" t="s">
        <v>287</v>
      </c>
      <c r="R22" s="142">
        <v>1</v>
      </c>
      <c r="S22" s="143" t="s">
        <v>370</v>
      </c>
      <c r="W22" s="83" t="s">
        <v>50</v>
      </c>
      <c r="X22" s="84" t="s">
        <v>372</v>
      </c>
      <c r="Y22" s="84"/>
      <c r="Z22" s="110" t="s">
        <v>286</v>
      </c>
      <c r="AA22" s="111">
        <v>0.99609846555590886</v>
      </c>
      <c r="AC22" s="72" t="s">
        <v>28</v>
      </c>
      <c r="AD22" s="86">
        <f>COUNTIF(Y$52:Y$70,"=14")</f>
        <v>3</v>
      </c>
      <c r="AE22" s="87">
        <f t="shared" si="4"/>
        <v>0.15789473684210525</v>
      </c>
      <c r="AG22" s="127"/>
    </row>
    <row r="23" spans="1:33" ht="13.8" x14ac:dyDescent="0.3">
      <c r="A23" s="83" t="s">
        <v>21</v>
      </c>
      <c r="B23" s="80" t="s">
        <v>16</v>
      </c>
      <c r="C23" s="80">
        <v>15</v>
      </c>
      <c r="D23" s="80" t="s">
        <v>315</v>
      </c>
      <c r="E23" s="101">
        <f t="shared" si="3"/>
        <v>0.76907329412838532</v>
      </c>
      <c r="F23" s="65"/>
      <c r="Q23" s="141" t="s">
        <v>288</v>
      </c>
      <c r="R23" s="142">
        <v>0.81254016709511567</v>
      </c>
      <c r="S23" s="141" t="s">
        <v>370</v>
      </c>
      <c r="W23" s="81" t="s">
        <v>66</v>
      </c>
      <c r="X23" s="82" t="s">
        <v>28</v>
      </c>
      <c r="Y23" s="82">
        <v>14</v>
      </c>
      <c r="Z23" s="82" t="s">
        <v>314</v>
      </c>
      <c r="AA23" s="102">
        <v>0.99569209153466032</v>
      </c>
      <c r="AC23" s="72" t="s">
        <v>49</v>
      </c>
      <c r="AD23" s="86">
        <f>COUNTIF(Y$52:Y$70,"=13")</f>
        <v>6</v>
      </c>
      <c r="AE23" s="87">
        <f t="shared" si="4"/>
        <v>0.31578947368421051</v>
      </c>
      <c r="AG23" s="127"/>
    </row>
    <row r="24" spans="1:33" ht="14.4" thickBot="1" x14ac:dyDescent="0.35">
      <c r="A24" s="83" t="s">
        <v>23</v>
      </c>
      <c r="B24" s="110" t="s">
        <v>16</v>
      </c>
      <c r="C24" s="110">
        <v>15</v>
      </c>
      <c r="D24" s="110" t="s">
        <v>322</v>
      </c>
      <c r="E24" s="111">
        <f t="shared" si="3"/>
        <v>0.73349447513812149</v>
      </c>
      <c r="F24" s="65"/>
      <c r="Q24" s="141" t="s">
        <v>289</v>
      </c>
      <c r="R24" s="142">
        <v>0.76510407852428497</v>
      </c>
      <c r="S24" s="141" t="s">
        <v>371</v>
      </c>
      <c r="W24" s="144" t="s">
        <v>265</v>
      </c>
      <c r="X24" s="145" t="s">
        <v>56</v>
      </c>
      <c r="Y24" s="145">
        <v>12</v>
      </c>
      <c r="Z24" s="145" t="s">
        <v>313</v>
      </c>
      <c r="AA24" s="146">
        <v>0.99533285779852521</v>
      </c>
      <c r="AC24" s="93" t="s">
        <v>79</v>
      </c>
      <c r="AD24" s="94">
        <f>COUNTIF(Y$52:Y$70,"&lt;13")</f>
        <v>0</v>
      </c>
      <c r="AE24" s="95">
        <f t="shared" si="4"/>
        <v>0</v>
      </c>
      <c r="AG24" s="127"/>
    </row>
    <row r="25" spans="1:33" ht="13.8" x14ac:dyDescent="0.3">
      <c r="A25" s="83" t="s">
        <v>53</v>
      </c>
      <c r="B25" s="80" t="s">
        <v>16</v>
      </c>
      <c r="C25" s="80">
        <v>15</v>
      </c>
      <c r="D25" s="80" t="s">
        <v>317</v>
      </c>
      <c r="E25" s="101">
        <f t="shared" si="3"/>
        <v>0.99967409016838671</v>
      </c>
      <c r="F25" s="65"/>
      <c r="Q25" s="141" t="s">
        <v>290</v>
      </c>
      <c r="R25" s="142">
        <v>0.96341849943457658</v>
      </c>
      <c r="S25" s="143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0.99461817608484948</v>
      </c>
      <c r="AC25" s="88" t="s">
        <v>80</v>
      </c>
      <c r="AD25" s="89">
        <f>SUM(AD19:AD24)</f>
        <v>19</v>
      </c>
      <c r="AE25" s="90">
        <f t="shared" si="4"/>
        <v>1</v>
      </c>
      <c r="AG25" s="127"/>
    </row>
    <row r="26" spans="1:33" ht="13.8" x14ac:dyDescent="0.3">
      <c r="A26" s="83" t="s">
        <v>43</v>
      </c>
      <c r="B26" s="80" t="s">
        <v>16</v>
      </c>
      <c r="C26" s="80">
        <v>15</v>
      </c>
      <c r="D26" s="110" t="s">
        <v>324</v>
      </c>
      <c r="E26" s="111">
        <f t="shared" si="3"/>
        <v>0.61841824770837783</v>
      </c>
      <c r="F26" s="65"/>
      <c r="Q26" s="141" t="s">
        <v>291</v>
      </c>
      <c r="R26" s="142">
        <v>0.89318320146074259</v>
      </c>
      <c r="S26" s="141" t="s">
        <v>370</v>
      </c>
      <c r="W26" s="79" t="s">
        <v>41</v>
      </c>
      <c r="X26" s="80" t="s">
        <v>49</v>
      </c>
      <c r="Y26" s="80">
        <v>13</v>
      </c>
      <c r="Z26" s="80" t="s">
        <v>321</v>
      </c>
      <c r="AA26" s="101">
        <v>0.99126425624848336</v>
      </c>
      <c r="AG26" s="127"/>
    </row>
    <row r="27" spans="1:33" ht="13.8" x14ac:dyDescent="0.3">
      <c r="A27" s="83" t="s">
        <v>256</v>
      </c>
      <c r="B27" s="80" t="s">
        <v>16</v>
      </c>
      <c r="C27" s="80">
        <v>15</v>
      </c>
      <c r="D27" s="80" t="s">
        <v>319</v>
      </c>
      <c r="E27" s="101">
        <f t="shared" si="3"/>
        <v>0.85816623707026407</v>
      </c>
      <c r="F27" s="69"/>
      <c r="Q27" s="141" t="s">
        <v>292</v>
      </c>
      <c r="R27" s="142">
        <v>1.0292149475019923</v>
      </c>
      <c r="S27" s="141" t="s">
        <v>370</v>
      </c>
      <c r="W27" s="81" t="s">
        <v>75</v>
      </c>
      <c r="X27" s="82" t="s">
        <v>28</v>
      </c>
      <c r="Y27" s="82">
        <v>14</v>
      </c>
      <c r="Z27" s="82" t="s">
        <v>331</v>
      </c>
      <c r="AA27" s="102">
        <v>0.98872477714287255</v>
      </c>
      <c r="AG27" s="127"/>
    </row>
    <row r="28" spans="1:33" ht="13.8" x14ac:dyDescent="0.3">
      <c r="A28" s="83" t="s">
        <v>13</v>
      </c>
      <c r="B28" s="80" t="s">
        <v>16</v>
      </c>
      <c r="C28" s="80">
        <v>15</v>
      </c>
      <c r="D28" s="80" t="s">
        <v>326</v>
      </c>
      <c r="E28" s="101">
        <f t="shared" si="3"/>
        <v>0.77444478716841458</v>
      </c>
      <c r="F28" s="65"/>
      <c r="Q28" s="141" t="s">
        <v>293</v>
      </c>
      <c r="R28" s="142">
        <v>1</v>
      </c>
      <c r="S28" s="141" t="s">
        <v>370</v>
      </c>
      <c r="W28" s="79" t="s">
        <v>76</v>
      </c>
      <c r="X28" s="84" t="s">
        <v>372</v>
      </c>
      <c r="Y28" s="84"/>
      <c r="Z28" s="84" t="s">
        <v>333</v>
      </c>
      <c r="AA28" s="103">
        <v>0.98538704581358605</v>
      </c>
      <c r="AC28" s="108" t="s">
        <v>140</v>
      </c>
      <c r="AD28" s="109"/>
      <c r="AE28" s="109"/>
      <c r="AF28" s="77">
        <f>AVERAGE(Y$71:Y$74)</f>
        <v>11.75</v>
      </c>
      <c r="AG28" s="126"/>
    </row>
    <row r="29" spans="1:33" ht="14.4" thickBot="1" x14ac:dyDescent="0.35">
      <c r="A29" s="83" t="s">
        <v>25</v>
      </c>
      <c r="B29" s="80" t="s">
        <v>16</v>
      </c>
      <c r="C29" s="80">
        <v>15</v>
      </c>
      <c r="D29" s="80" t="s">
        <v>328</v>
      </c>
      <c r="E29" s="101">
        <f t="shared" si="3"/>
        <v>0.66251692368655679</v>
      </c>
      <c r="F29" s="65"/>
      <c r="Q29" s="141" t="s">
        <v>294</v>
      </c>
      <c r="R29" s="142">
        <v>0.11951366732775717</v>
      </c>
      <c r="S29" s="141" t="s">
        <v>86</v>
      </c>
      <c r="W29" s="81" t="s">
        <v>20</v>
      </c>
      <c r="X29" s="82" t="s">
        <v>28</v>
      </c>
      <c r="Y29" s="82">
        <v>14</v>
      </c>
      <c r="Z29" s="82" t="s">
        <v>302</v>
      </c>
      <c r="AA29" s="102">
        <v>0.97697589100213744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26</v>
      </c>
      <c r="B30" s="80" t="s">
        <v>16</v>
      </c>
      <c r="C30" s="80">
        <v>15</v>
      </c>
      <c r="D30" s="80" t="s">
        <v>335</v>
      </c>
      <c r="E30" s="101">
        <f t="shared" si="3"/>
        <v>0.91865112788863534</v>
      </c>
      <c r="F30" s="65"/>
      <c r="Q30" s="141" t="s">
        <v>295</v>
      </c>
      <c r="R30" s="142">
        <v>0.7886228860092247</v>
      </c>
      <c r="S30" s="141" t="s">
        <v>371</v>
      </c>
      <c r="W30" s="81" t="s">
        <v>14</v>
      </c>
      <c r="X30" s="82" t="s">
        <v>10</v>
      </c>
      <c r="Y30" s="82">
        <v>16</v>
      </c>
      <c r="Z30" s="82" t="s">
        <v>334</v>
      </c>
      <c r="AA30" s="102">
        <v>0.975461842272901</v>
      </c>
      <c r="AC30" s="72" t="s">
        <v>138</v>
      </c>
      <c r="AD30" s="86">
        <f>COUNTIF(Y$71:Y$74,"&gt;16")</f>
        <v>0</v>
      </c>
      <c r="AE30" s="87">
        <f>AD30/AD$36</f>
        <v>0</v>
      </c>
    </row>
    <row r="31" spans="1:33" ht="13.8" x14ac:dyDescent="0.3">
      <c r="A31" s="81" t="s">
        <v>258</v>
      </c>
      <c r="B31" s="82" t="s">
        <v>28</v>
      </c>
      <c r="C31" s="82">
        <v>14</v>
      </c>
      <c r="D31" s="82" t="s">
        <v>274</v>
      </c>
      <c r="E31" s="102">
        <f t="shared" si="3"/>
        <v>0.96680210088197405</v>
      </c>
      <c r="F31" s="65"/>
      <c r="K31" s="66"/>
      <c r="L31" s="66"/>
      <c r="Q31" s="141" t="s">
        <v>296</v>
      </c>
      <c r="R31" s="142">
        <v>0.80341264723043471</v>
      </c>
      <c r="S31" s="143" t="s">
        <v>370</v>
      </c>
      <c r="W31" s="81" t="s">
        <v>264</v>
      </c>
      <c r="X31" s="82" t="s">
        <v>56</v>
      </c>
      <c r="Y31" s="82">
        <v>12</v>
      </c>
      <c r="Z31" s="82" t="s">
        <v>332</v>
      </c>
      <c r="AA31" s="102">
        <v>0.97036252976978032</v>
      </c>
      <c r="AC31" s="72" t="s">
        <v>10</v>
      </c>
      <c r="AD31" s="86">
        <f>COUNTIF(Y$71:Y$74,"=16")</f>
        <v>0</v>
      </c>
      <c r="AE31" s="87">
        <f t="shared" ref="AE31:AE36" si="5">AD31/AD$36</f>
        <v>0</v>
      </c>
    </row>
    <row r="32" spans="1:33" ht="13.8" x14ac:dyDescent="0.3">
      <c r="A32" s="144" t="s">
        <v>55</v>
      </c>
      <c r="B32" s="145" t="s">
        <v>28</v>
      </c>
      <c r="C32" s="145">
        <v>14</v>
      </c>
      <c r="D32" s="145" t="s">
        <v>277</v>
      </c>
      <c r="E32" s="146">
        <f t="shared" si="3"/>
        <v>0.91095138568993894</v>
      </c>
      <c r="F32" s="65"/>
      <c r="L32" s="66"/>
      <c r="Q32" s="141" t="s">
        <v>297</v>
      </c>
      <c r="R32" s="142">
        <v>0.58646630934150079</v>
      </c>
      <c r="S32" s="143" t="s">
        <v>371</v>
      </c>
      <c r="W32" s="81" t="s">
        <v>258</v>
      </c>
      <c r="X32" s="82" t="s">
        <v>28</v>
      </c>
      <c r="Y32" s="82">
        <v>14</v>
      </c>
      <c r="Z32" s="82" t="s">
        <v>274</v>
      </c>
      <c r="AA32" s="102">
        <v>0.96680210088197405</v>
      </c>
      <c r="AC32" s="72" t="s">
        <v>16</v>
      </c>
      <c r="AD32" s="86">
        <f>COUNTIF(Y$71:Y$74,"=15")</f>
        <v>1</v>
      </c>
      <c r="AE32" s="87">
        <f t="shared" si="5"/>
        <v>0.25</v>
      </c>
    </row>
    <row r="33" spans="1:31" ht="13.8" x14ac:dyDescent="0.3">
      <c r="A33" s="81" t="s">
        <v>29</v>
      </c>
      <c r="B33" s="82" t="s">
        <v>28</v>
      </c>
      <c r="C33" s="82">
        <v>14</v>
      </c>
      <c r="D33" s="82" t="s">
        <v>285</v>
      </c>
      <c r="E33" s="102">
        <f t="shared" si="3"/>
        <v>0.71562826313957539</v>
      </c>
      <c r="F33" s="65"/>
      <c r="L33" s="66"/>
      <c r="Q33" s="141" t="s">
        <v>298</v>
      </c>
      <c r="R33" s="142">
        <v>0.64970550208303401</v>
      </c>
      <c r="S33" s="143" t="s">
        <v>371</v>
      </c>
      <c r="W33" s="81" t="s">
        <v>19</v>
      </c>
      <c r="X33" s="82" t="s">
        <v>10</v>
      </c>
      <c r="Y33" s="82">
        <v>16</v>
      </c>
      <c r="Z33" s="82" t="s">
        <v>290</v>
      </c>
      <c r="AA33" s="102">
        <v>0.96341849943457658</v>
      </c>
      <c r="AC33" s="72" t="s">
        <v>28</v>
      </c>
      <c r="AD33" s="86">
        <f>COUNTIF(Y$71:Y$74,"=14")</f>
        <v>0</v>
      </c>
      <c r="AE33" s="87">
        <f t="shared" si="5"/>
        <v>0</v>
      </c>
    </row>
    <row r="34" spans="1:31" ht="13.8" x14ac:dyDescent="0.3">
      <c r="A34" s="81" t="s">
        <v>30</v>
      </c>
      <c r="B34" s="82" t="s">
        <v>28</v>
      </c>
      <c r="C34" s="82">
        <v>14</v>
      </c>
      <c r="D34" s="82" t="s">
        <v>284</v>
      </c>
      <c r="E34" s="102">
        <f t="shared" si="3"/>
        <v>0.91199977892108686</v>
      </c>
      <c r="F34" s="65"/>
      <c r="H34" s="4"/>
      <c r="I34" s="4"/>
      <c r="L34" s="66"/>
      <c r="Q34" s="141" t="s">
        <v>300</v>
      </c>
      <c r="R34" s="142">
        <v>1.0379329114785329</v>
      </c>
      <c r="S34" s="143" t="s">
        <v>370</v>
      </c>
      <c r="W34" s="81" t="s">
        <v>512</v>
      </c>
      <c r="X34" s="82" t="s">
        <v>28</v>
      </c>
      <c r="Y34" s="82">
        <v>14</v>
      </c>
      <c r="Z34" s="82" t="s">
        <v>511</v>
      </c>
      <c r="AA34" s="102">
        <v>0.95294725244456668</v>
      </c>
      <c r="AC34" s="72" t="s">
        <v>49</v>
      </c>
      <c r="AD34" s="86">
        <f>COUNTIF(Y$71:Y$74,"=13")</f>
        <v>2</v>
      </c>
      <c r="AE34" s="87">
        <f t="shared" si="5"/>
        <v>0.5</v>
      </c>
    </row>
    <row r="35" spans="1:31" ht="14.4" thickBot="1" x14ac:dyDescent="0.35">
      <c r="A35" s="81" t="s">
        <v>34</v>
      </c>
      <c r="B35" s="82" t="s">
        <v>28</v>
      </c>
      <c r="C35" s="82">
        <v>14</v>
      </c>
      <c r="D35" s="82" t="s">
        <v>293</v>
      </c>
      <c r="E35" s="102">
        <f t="shared" si="3"/>
        <v>1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0.47637430521244206</v>
      </c>
      <c r="S35" s="141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0.94700000000000006</v>
      </c>
      <c r="AC35" s="93" t="s">
        <v>79</v>
      </c>
      <c r="AD35" s="94">
        <f>COUNTIF(Y$71:Y$74,"&lt;13")</f>
        <v>1</v>
      </c>
      <c r="AE35" s="95">
        <f t="shared" si="5"/>
        <v>0.25</v>
      </c>
    </row>
    <row r="36" spans="1:31" ht="13.8" x14ac:dyDescent="0.3">
      <c r="A36" s="81" t="s">
        <v>36</v>
      </c>
      <c r="B36" s="82" t="s">
        <v>28</v>
      </c>
      <c r="C36" s="82">
        <v>14</v>
      </c>
      <c r="D36" s="82" t="s">
        <v>296</v>
      </c>
      <c r="E36" s="102">
        <f t="shared" si="3"/>
        <v>0.80341264723043471</v>
      </c>
      <c r="F36" s="65"/>
      <c r="G36" s="140"/>
      <c r="H36" s="11"/>
      <c r="I36" s="11"/>
      <c r="J36" s="4"/>
      <c r="L36" s="67"/>
      <c r="Q36" s="141" t="s">
        <v>302</v>
      </c>
      <c r="R36" s="142">
        <v>0.97697589100213744</v>
      </c>
      <c r="S36" s="143" t="s">
        <v>370</v>
      </c>
      <c r="W36" s="81" t="s">
        <v>62</v>
      </c>
      <c r="X36" s="82" t="s">
        <v>28</v>
      </c>
      <c r="Y36" s="82">
        <v>14</v>
      </c>
      <c r="Z36" s="82" t="s">
        <v>329</v>
      </c>
      <c r="AA36" s="102">
        <v>0.93843994106691131</v>
      </c>
      <c r="AC36" s="88" t="s">
        <v>80</v>
      </c>
      <c r="AD36" s="89">
        <f>SUM(AD30:AD35)</f>
        <v>4</v>
      </c>
      <c r="AE36" s="90">
        <f t="shared" si="5"/>
        <v>1</v>
      </c>
    </row>
    <row r="37" spans="1:31" ht="13.8" x14ac:dyDescent="0.3">
      <c r="A37" s="81" t="s">
        <v>11</v>
      </c>
      <c r="B37" s="82" t="s">
        <v>28</v>
      </c>
      <c r="C37" s="82">
        <v>14</v>
      </c>
      <c r="D37" s="82" t="s">
        <v>297</v>
      </c>
      <c r="E37" s="102">
        <f t="shared" si="3"/>
        <v>0.58646630934150079</v>
      </c>
      <c r="F37" s="65"/>
      <c r="H37" s="12"/>
      <c r="I37" s="4"/>
      <c r="J37" s="11"/>
      <c r="Q37" s="141" t="s">
        <v>306</v>
      </c>
      <c r="R37" s="142">
        <v>0.86662573118314323</v>
      </c>
      <c r="S37" s="141" t="s">
        <v>370</v>
      </c>
      <c r="W37" s="81" t="s">
        <v>42</v>
      </c>
      <c r="X37" s="82" t="s">
        <v>65</v>
      </c>
      <c r="Y37" s="82">
        <v>10</v>
      </c>
      <c r="Z37" s="82" t="s">
        <v>320</v>
      </c>
      <c r="AA37" s="102">
        <v>0.93520619672453054</v>
      </c>
    </row>
    <row r="38" spans="1:31" ht="13.8" x14ac:dyDescent="0.3">
      <c r="A38" s="81" t="s">
        <v>260</v>
      </c>
      <c r="B38" s="82" t="s">
        <v>28</v>
      </c>
      <c r="C38" s="82">
        <v>14</v>
      </c>
      <c r="D38" s="82" t="s">
        <v>300</v>
      </c>
      <c r="E38" s="102">
        <f t="shared" si="3"/>
        <v>1.0379329114785329</v>
      </c>
      <c r="F38" s="65"/>
      <c r="H38" s="12"/>
      <c r="I38" s="4"/>
      <c r="J38" s="13"/>
      <c r="Q38" s="141" t="s">
        <v>308</v>
      </c>
      <c r="R38" s="142">
        <v>0.36101059894989318</v>
      </c>
      <c r="S38" s="141" t="s">
        <v>86</v>
      </c>
      <c r="W38" s="79" t="s">
        <v>7</v>
      </c>
      <c r="X38" s="80" t="s">
        <v>2</v>
      </c>
      <c r="Y38" s="80">
        <v>17</v>
      </c>
      <c r="Z38" s="80" t="s">
        <v>327</v>
      </c>
      <c r="AA38" s="101">
        <v>0.92936836749527552</v>
      </c>
    </row>
    <row r="39" spans="1:31" ht="13.8" x14ac:dyDescent="0.3">
      <c r="A39" s="81" t="s">
        <v>20</v>
      </c>
      <c r="B39" s="82" t="s">
        <v>28</v>
      </c>
      <c r="C39" s="82">
        <v>14</v>
      </c>
      <c r="D39" s="82" t="s">
        <v>302</v>
      </c>
      <c r="E39" s="102">
        <f t="shared" si="3"/>
        <v>0.97697589100213744</v>
      </c>
      <c r="F39" s="65"/>
      <c r="H39" s="12"/>
      <c r="I39" s="4"/>
      <c r="J39" s="13"/>
      <c r="Q39" s="141" t="s">
        <v>309</v>
      </c>
      <c r="R39" s="142">
        <v>0.78418126509511765</v>
      </c>
      <c r="S39" s="141" t="s">
        <v>371</v>
      </c>
      <c r="W39" s="83" t="s">
        <v>26</v>
      </c>
      <c r="X39" s="80" t="s">
        <v>16</v>
      </c>
      <c r="Y39" s="80">
        <v>15</v>
      </c>
      <c r="Z39" s="80" t="s">
        <v>335</v>
      </c>
      <c r="AA39" s="101">
        <v>0.91865112788863534</v>
      </c>
    </row>
    <row r="40" spans="1:31" ht="13.8" x14ac:dyDescent="0.3">
      <c r="A40" s="81" t="s">
        <v>512</v>
      </c>
      <c r="B40" s="82" t="s">
        <v>28</v>
      </c>
      <c r="C40" s="82">
        <v>14</v>
      </c>
      <c r="D40" s="82" t="s">
        <v>511</v>
      </c>
      <c r="E40" s="102">
        <f t="shared" si="3"/>
        <v>0.95294725244456668</v>
      </c>
      <c r="F40" s="65"/>
      <c r="H40" s="12"/>
      <c r="I40" s="4"/>
      <c r="J40" s="13"/>
      <c r="Q40" s="141" t="s">
        <v>368</v>
      </c>
      <c r="R40" s="142">
        <v>0.541533003736272</v>
      </c>
      <c r="S40" s="143" t="s">
        <v>371</v>
      </c>
      <c r="W40" s="81" t="s">
        <v>30</v>
      </c>
      <c r="X40" s="82" t="s">
        <v>28</v>
      </c>
      <c r="Y40" s="82">
        <v>14</v>
      </c>
      <c r="Z40" s="82" t="s">
        <v>284</v>
      </c>
      <c r="AA40" s="102">
        <v>0.91199977892108686</v>
      </c>
    </row>
    <row r="41" spans="1:31" ht="13.8" x14ac:dyDescent="0.3">
      <c r="A41" s="81" t="s">
        <v>66</v>
      </c>
      <c r="B41" s="82" t="s">
        <v>28</v>
      </c>
      <c r="C41" s="82">
        <v>14</v>
      </c>
      <c r="D41" s="82" t="s">
        <v>314</v>
      </c>
      <c r="E41" s="102">
        <f t="shared" si="3"/>
        <v>0.99569209153466032</v>
      </c>
      <c r="F41" s="69"/>
      <c r="H41" s="12"/>
      <c r="I41" s="4"/>
      <c r="J41" s="13"/>
      <c r="Q41" s="141" t="s">
        <v>310</v>
      </c>
      <c r="R41" s="142">
        <v>0.57845507252191697</v>
      </c>
      <c r="S41" s="143" t="s">
        <v>371</v>
      </c>
      <c r="W41" s="144" t="s">
        <v>55</v>
      </c>
      <c r="X41" s="145" t="s">
        <v>28</v>
      </c>
      <c r="Y41" s="145">
        <v>14</v>
      </c>
      <c r="Z41" s="145" t="s">
        <v>277</v>
      </c>
      <c r="AA41" s="146">
        <v>0.91095138568993894</v>
      </c>
    </row>
    <row r="42" spans="1:31" ht="13.8" x14ac:dyDescent="0.3">
      <c r="A42" s="81" t="s">
        <v>24</v>
      </c>
      <c r="B42" s="82" t="s">
        <v>28</v>
      </c>
      <c r="C42" s="82">
        <v>14</v>
      </c>
      <c r="D42" s="82" t="s">
        <v>323</v>
      </c>
      <c r="E42" s="102">
        <f t="shared" si="3"/>
        <v>1</v>
      </c>
      <c r="F42" s="69"/>
      <c r="H42" s="12"/>
      <c r="I42" s="4"/>
      <c r="J42" s="13"/>
      <c r="Q42" s="141" t="s">
        <v>312</v>
      </c>
      <c r="R42" s="142">
        <v>1</v>
      </c>
      <c r="S42" s="143" t="s">
        <v>370</v>
      </c>
      <c r="W42" s="83" t="s">
        <v>15</v>
      </c>
      <c r="X42" s="80" t="s">
        <v>16</v>
      </c>
      <c r="Y42" s="80">
        <v>15</v>
      </c>
      <c r="Z42" s="80" t="s">
        <v>276</v>
      </c>
      <c r="AA42" s="101">
        <v>0.91042888352305396</v>
      </c>
    </row>
    <row r="43" spans="1:31" ht="13.8" x14ac:dyDescent="0.3">
      <c r="A43" s="81" t="s">
        <v>45</v>
      </c>
      <c r="B43" s="82" t="s">
        <v>28</v>
      </c>
      <c r="C43" s="82">
        <v>14</v>
      </c>
      <c r="D43" s="82" t="s">
        <v>318</v>
      </c>
      <c r="E43" s="102">
        <f t="shared" si="3"/>
        <v>0.5641445718679996</v>
      </c>
      <c r="F43" s="65"/>
      <c r="H43" s="4"/>
      <c r="I43" s="4"/>
      <c r="J43" s="4"/>
      <c r="Q43" s="141" t="s">
        <v>511</v>
      </c>
      <c r="R43" s="142">
        <v>0.95294725244456668</v>
      </c>
      <c r="S43" s="143" t="s">
        <v>370</v>
      </c>
      <c r="W43" s="81" t="s">
        <v>3</v>
      </c>
      <c r="X43" s="82" t="s">
        <v>10</v>
      </c>
      <c r="Y43" s="82">
        <v>16</v>
      </c>
      <c r="Z43" s="82" t="s">
        <v>291</v>
      </c>
      <c r="AA43" s="102">
        <v>0.89318320146074259</v>
      </c>
    </row>
    <row r="44" spans="1:31" ht="13.8" x14ac:dyDescent="0.3">
      <c r="A44" s="81" t="s">
        <v>62</v>
      </c>
      <c r="B44" s="82" t="s">
        <v>28</v>
      </c>
      <c r="C44" s="82">
        <v>14</v>
      </c>
      <c r="D44" s="82" t="s">
        <v>329</v>
      </c>
      <c r="E44" s="102">
        <f t="shared" si="3"/>
        <v>0.93843994106691131</v>
      </c>
      <c r="F44" s="65"/>
      <c r="H44" s="4"/>
      <c r="I44" s="4"/>
      <c r="J44" s="4"/>
      <c r="Q44" s="141" t="s">
        <v>313</v>
      </c>
      <c r="R44" s="142">
        <v>0.99533285779852521</v>
      </c>
      <c r="S44" s="141" t="s">
        <v>370</v>
      </c>
      <c r="W44" s="79" t="s">
        <v>60</v>
      </c>
      <c r="X44" s="80" t="s">
        <v>49</v>
      </c>
      <c r="Y44" s="80">
        <v>13</v>
      </c>
      <c r="Z44" s="80" t="s">
        <v>283</v>
      </c>
      <c r="AA44" s="101">
        <v>0.89235399590163933</v>
      </c>
    </row>
    <row r="45" spans="1:31" ht="13.8" x14ac:dyDescent="0.3">
      <c r="A45" s="81" t="s">
        <v>75</v>
      </c>
      <c r="B45" s="82" t="s">
        <v>28</v>
      </c>
      <c r="C45" s="82">
        <v>14</v>
      </c>
      <c r="D45" s="82" t="s">
        <v>331</v>
      </c>
      <c r="E45" s="102">
        <f t="shared" si="3"/>
        <v>0.98872477714287255</v>
      </c>
      <c r="F45" s="69"/>
      <c r="H45" s="4"/>
      <c r="I45" s="4"/>
      <c r="J45" s="4"/>
      <c r="Q45" s="141" t="s">
        <v>314</v>
      </c>
      <c r="R45" s="142">
        <v>0.99569209153466032</v>
      </c>
      <c r="S45" s="141" t="s">
        <v>370</v>
      </c>
      <c r="W45" s="79" t="s">
        <v>263</v>
      </c>
      <c r="X45" s="80" t="s">
        <v>2</v>
      </c>
      <c r="Y45" s="80">
        <v>17</v>
      </c>
      <c r="Z45" s="80" t="s">
        <v>282</v>
      </c>
      <c r="AA45" s="101">
        <v>0.89001113183270453</v>
      </c>
    </row>
    <row r="46" spans="1:31" ht="13.8" x14ac:dyDescent="0.3">
      <c r="A46" s="81" t="s">
        <v>59</v>
      </c>
      <c r="B46" s="82" t="s">
        <v>28</v>
      </c>
      <c r="C46" s="82">
        <v>14</v>
      </c>
      <c r="D46" s="82" t="s">
        <v>336</v>
      </c>
      <c r="E46" s="102">
        <f t="shared" si="3"/>
        <v>1</v>
      </c>
      <c r="F46" s="69"/>
      <c r="G46" s="66"/>
      <c r="J46" s="67"/>
      <c r="Q46" s="141" t="s">
        <v>315</v>
      </c>
      <c r="R46" s="142">
        <v>0.76907329412838532</v>
      </c>
      <c r="S46" s="141" t="s">
        <v>371</v>
      </c>
      <c r="W46" s="83" t="s">
        <v>17</v>
      </c>
      <c r="X46" s="80" t="s">
        <v>16</v>
      </c>
      <c r="Y46" s="80">
        <v>15</v>
      </c>
      <c r="Z46" s="80" t="s">
        <v>306</v>
      </c>
      <c r="AA46" s="101">
        <v>0.86662573118314323</v>
      </c>
    </row>
    <row r="47" spans="1:31" ht="13.8" x14ac:dyDescent="0.3">
      <c r="A47" s="79" t="s">
        <v>9</v>
      </c>
      <c r="B47" s="80" t="s">
        <v>49</v>
      </c>
      <c r="C47" s="80">
        <v>13</v>
      </c>
      <c r="D47" s="80" t="s">
        <v>273</v>
      </c>
      <c r="E47" s="101">
        <f t="shared" ref="E47:E67" si="6">VLOOKUP($D47,$Q$7:$R$68,2,0)</f>
        <v>0.84669359982989578</v>
      </c>
      <c r="F47" s="69"/>
      <c r="G47" s="66"/>
      <c r="I47" s="66"/>
      <c r="J47" s="66"/>
      <c r="Q47" s="141" t="s">
        <v>316</v>
      </c>
      <c r="R47" s="142">
        <v>0.62481029959532464</v>
      </c>
      <c r="S47" s="141" t="s">
        <v>371</v>
      </c>
      <c r="W47" s="83" t="s">
        <v>256</v>
      </c>
      <c r="X47" s="80" t="s">
        <v>16</v>
      </c>
      <c r="Y47" s="80">
        <v>15</v>
      </c>
      <c r="Z47" s="80" t="s">
        <v>319</v>
      </c>
      <c r="AA47" s="101">
        <v>0.85816623707026407</v>
      </c>
    </row>
    <row r="48" spans="1:31" ht="13.8" x14ac:dyDescent="0.3">
      <c r="A48" s="79" t="s">
        <v>48</v>
      </c>
      <c r="B48" s="80" t="s">
        <v>49</v>
      </c>
      <c r="C48" s="80">
        <v>13</v>
      </c>
      <c r="D48" s="80" t="s">
        <v>279</v>
      </c>
      <c r="E48" s="101">
        <f t="shared" si="6"/>
        <v>0.68875112521618576</v>
      </c>
      <c r="F48" s="65"/>
      <c r="G48" s="66"/>
      <c r="I48" s="66"/>
      <c r="J48" s="66"/>
      <c r="Q48" s="141" t="s">
        <v>317</v>
      </c>
      <c r="R48" s="142">
        <v>0.99967409016838671</v>
      </c>
      <c r="S48" s="143" t="s">
        <v>370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0.84669359982989578</v>
      </c>
    </row>
    <row r="49" spans="1:27" ht="13.8" x14ac:dyDescent="0.3">
      <c r="A49" s="79" t="s">
        <v>60</v>
      </c>
      <c r="B49" s="80" t="s">
        <v>49</v>
      </c>
      <c r="C49" s="80">
        <v>13</v>
      </c>
      <c r="D49" s="80" t="s">
        <v>283</v>
      </c>
      <c r="E49" s="101">
        <f t="shared" si="6"/>
        <v>0.89235399590163933</v>
      </c>
      <c r="F49" s="65"/>
      <c r="G49" s="67"/>
      <c r="I49" s="66"/>
      <c r="J49" s="66"/>
      <c r="Q49" s="141" t="s">
        <v>318</v>
      </c>
      <c r="R49" s="142">
        <v>0.5641445718679996</v>
      </c>
      <c r="S49" s="143" t="s">
        <v>371</v>
      </c>
      <c r="W49" s="83" t="s">
        <v>253</v>
      </c>
      <c r="X49" s="80" t="s">
        <v>16</v>
      </c>
      <c r="Y49" s="80">
        <v>15</v>
      </c>
      <c r="Z49" s="80" t="s">
        <v>330</v>
      </c>
      <c r="AA49" s="101">
        <v>0.83267459864721705</v>
      </c>
    </row>
    <row r="50" spans="1:27" ht="13.8" x14ac:dyDescent="0.3">
      <c r="A50" s="83" t="s">
        <v>259</v>
      </c>
      <c r="B50" s="110" t="s">
        <v>49</v>
      </c>
      <c r="C50" s="110">
        <v>13</v>
      </c>
      <c r="D50" s="110" t="s">
        <v>281</v>
      </c>
      <c r="E50" s="111">
        <f t="shared" si="6"/>
        <v>0.33305692234682915</v>
      </c>
      <c r="F50" s="65"/>
      <c r="G50" s="67"/>
      <c r="H50" s="4"/>
      <c r="I50" s="67"/>
      <c r="J50" s="67"/>
      <c r="Q50" s="141" t="s">
        <v>319</v>
      </c>
      <c r="R50" s="142">
        <v>0.85816623707026407</v>
      </c>
      <c r="S50" s="141" t="s">
        <v>370</v>
      </c>
      <c r="W50" s="83" t="s">
        <v>31</v>
      </c>
      <c r="X50" s="80" t="s">
        <v>16</v>
      </c>
      <c r="Y50" s="80">
        <v>15</v>
      </c>
      <c r="Z50" s="110" t="s">
        <v>288</v>
      </c>
      <c r="AA50" s="111">
        <v>0.81254016709511567</v>
      </c>
    </row>
    <row r="51" spans="1:27" ht="13.8" x14ac:dyDescent="0.3">
      <c r="A51" s="79" t="s">
        <v>57</v>
      </c>
      <c r="B51" s="80" t="s">
        <v>49</v>
      </c>
      <c r="C51" s="80">
        <v>13</v>
      </c>
      <c r="D51" s="80" t="s">
        <v>295</v>
      </c>
      <c r="E51" s="101">
        <f t="shared" si="6"/>
        <v>0.7886228860092247</v>
      </c>
      <c r="F51" s="65"/>
      <c r="H51" s="4"/>
      <c r="I51" s="67"/>
      <c r="J51" s="67"/>
      <c r="Q51" s="141" t="s">
        <v>320</v>
      </c>
      <c r="R51" s="142">
        <v>0.93520619672453054</v>
      </c>
      <c r="S51" s="143" t="s">
        <v>370</v>
      </c>
      <c r="W51" s="81" t="s">
        <v>36</v>
      </c>
      <c r="X51" s="82" t="s">
        <v>28</v>
      </c>
      <c r="Y51" s="82">
        <v>14</v>
      </c>
      <c r="Z51" s="82" t="s">
        <v>296</v>
      </c>
      <c r="AA51" s="102">
        <v>0.80341264723043471</v>
      </c>
    </row>
    <row r="52" spans="1:27" ht="13.8" x14ac:dyDescent="0.3">
      <c r="A52" s="79" t="s">
        <v>35</v>
      </c>
      <c r="B52" s="80" t="s">
        <v>49</v>
      </c>
      <c r="C52" s="80">
        <v>13</v>
      </c>
      <c r="D52" s="80" t="s">
        <v>292</v>
      </c>
      <c r="E52" s="101">
        <f t="shared" si="6"/>
        <v>1.0292149475019923</v>
      </c>
      <c r="F52" s="65"/>
      <c r="Q52" s="141" t="s">
        <v>321</v>
      </c>
      <c r="R52" s="142">
        <v>0.99126425624848336</v>
      </c>
      <c r="S52" s="141" t="s">
        <v>370</v>
      </c>
      <c r="W52" s="79" t="s">
        <v>57</v>
      </c>
      <c r="X52" s="80" t="s">
        <v>49</v>
      </c>
      <c r="Y52" s="80">
        <v>13</v>
      </c>
      <c r="Z52" s="80" t="s">
        <v>295</v>
      </c>
      <c r="AA52" s="101">
        <v>0.7886228860092247</v>
      </c>
    </row>
    <row r="53" spans="1:27" ht="13.8" x14ac:dyDescent="0.3">
      <c r="A53" s="79" t="s">
        <v>51</v>
      </c>
      <c r="B53" s="80" t="s">
        <v>49</v>
      </c>
      <c r="C53" s="80">
        <v>13</v>
      </c>
      <c r="D53" s="80" t="s">
        <v>298</v>
      </c>
      <c r="E53" s="101">
        <f t="shared" si="6"/>
        <v>0.64970550208303401</v>
      </c>
      <c r="F53" s="65"/>
      <c r="Q53" s="141" t="s">
        <v>322</v>
      </c>
      <c r="R53" s="142">
        <v>0.73349447513812149</v>
      </c>
      <c r="S53" s="141" t="s">
        <v>371</v>
      </c>
      <c r="W53" s="79" t="s">
        <v>262</v>
      </c>
      <c r="X53" s="80" t="s">
        <v>108</v>
      </c>
      <c r="Y53" s="80">
        <v>19</v>
      </c>
      <c r="Z53" s="80" t="s">
        <v>309</v>
      </c>
      <c r="AA53" s="101">
        <v>0.78418126509511765</v>
      </c>
    </row>
    <row r="54" spans="1:27" ht="13.8" x14ac:dyDescent="0.3">
      <c r="A54" s="83" t="s">
        <v>39</v>
      </c>
      <c r="B54" s="80" t="s">
        <v>49</v>
      </c>
      <c r="C54" s="80">
        <v>13</v>
      </c>
      <c r="D54" s="110" t="s">
        <v>301</v>
      </c>
      <c r="E54" s="111">
        <f t="shared" si="6"/>
        <v>0.47637430521244206</v>
      </c>
      <c r="F54" s="65"/>
      <c r="Q54" s="141" t="s">
        <v>323</v>
      </c>
      <c r="R54" s="142">
        <v>1</v>
      </c>
      <c r="S54" s="141" t="s">
        <v>370</v>
      </c>
      <c r="W54" s="83" t="s">
        <v>13</v>
      </c>
      <c r="X54" s="80" t="s">
        <v>16</v>
      </c>
      <c r="Y54" s="80">
        <v>15</v>
      </c>
      <c r="Z54" s="80" t="s">
        <v>326</v>
      </c>
      <c r="AA54" s="101">
        <v>0.77444478716841458</v>
      </c>
    </row>
    <row r="55" spans="1:27" ht="13.8" x14ac:dyDescent="0.3">
      <c r="A55" s="79" t="s">
        <v>58</v>
      </c>
      <c r="B55" s="80" t="s">
        <v>49</v>
      </c>
      <c r="C55" s="80">
        <v>13</v>
      </c>
      <c r="D55" s="80" t="s">
        <v>275</v>
      </c>
      <c r="E55" s="101">
        <f t="shared" si="6"/>
        <v>1</v>
      </c>
      <c r="F55" s="65"/>
      <c r="Q55" s="141" t="s">
        <v>324</v>
      </c>
      <c r="R55" s="142">
        <v>0.61841824770837783</v>
      </c>
      <c r="S55" s="143" t="s">
        <v>371</v>
      </c>
      <c r="W55" s="83" t="s">
        <v>21</v>
      </c>
      <c r="X55" s="80" t="s">
        <v>16</v>
      </c>
      <c r="Y55" s="80">
        <v>15</v>
      </c>
      <c r="Z55" s="80" t="s">
        <v>315</v>
      </c>
      <c r="AA55" s="101">
        <v>0.76907329412838532</v>
      </c>
    </row>
    <row r="56" spans="1:27" ht="13.8" x14ac:dyDescent="0.3">
      <c r="A56" s="79" t="s">
        <v>40</v>
      </c>
      <c r="B56" s="80" t="s">
        <v>49</v>
      </c>
      <c r="C56" s="80">
        <v>13</v>
      </c>
      <c r="D56" s="80" t="s">
        <v>310</v>
      </c>
      <c r="E56" s="101">
        <f t="shared" si="6"/>
        <v>0.57845507252191697</v>
      </c>
      <c r="F56" s="65"/>
      <c r="Q56" s="141" t="s">
        <v>325</v>
      </c>
      <c r="R56" s="142">
        <v>0.99461817608484948</v>
      </c>
      <c r="S56" s="141" t="s">
        <v>370</v>
      </c>
      <c r="W56" s="81" t="s">
        <v>32</v>
      </c>
      <c r="X56" s="82" t="s">
        <v>10</v>
      </c>
      <c r="Y56" s="82">
        <v>16</v>
      </c>
      <c r="Z56" s="82" t="s">
        <v>289</v>
      </c>
      <c r="AA56" s="102">
        <v>0.76510407852428497</v>
      </c>
    </row>
    <row r="57" spans="1:27" ht="13.8" x14ac:dyDescent="0.3">
      <c r="A57" s="79" t="s">
        <v>22</v>
      </c>
      <c r="B57" s="80" t="s">
        <v>49</v>
      </c>
      <c r="C57" s="80">
        <v>13</v>
      </c>
      <c r="D57" s="80" t="s">
        <v>316</v>
      </c>
      <c r="E57" s="101">
        <f t="shared" si="6"/>
        <v>0.62481029959532464</v>
      </c>
      <c r="F57" s="65"/>
      <c r="Q57" s="141" t="s">
        <v>326</v>
      </c>
      <c r="R57" s="142">
        <v>0.77444478716841458</v>
      </c>
      <c r="S57" s="143" t="s">
        <v>371</v>
      </c>
      <c r="W57" s="83" t="s">
        <v>52</v>
      </c>
      <c r="X57" s="80" t="s">
        <v>16</v>
      </c>
      <c r="Y57" s="80">
        <v>15</v>
      </c>
      <c r="Z57" s="80" t="s">
        <v>280</v>
      </c>
      <c r="AA57" s="101">
        <v>0.76017780502759058</v>
      </c>
    </row>
    <row r="58" spans="1:27" ht="13.8" x14ac:dyDescent="0.3">
      <c r="A58" s="79" t="s">
        <v>41</v>
      </c>
      <c r="B58" s="80" t="s">
        <v>49</v>
      </c>
      <c r="C58" s="80">
        <v>13</v>
      </c>
      <c r="D58" s="80" t="s">
        <v>321</v>
      </c>
      <c r="E58" s="101">
        <f t="shared" si="6"/>
        <v>0.99126425624848336</v>
      </c>
      <c r="F58" s="65"/>
      <c r="Q58" s="141" t="s">
        <v>327</v>
      </c>
      <c r="R58" s="142">
        <v>0.92936836749527552</v>
      </c>
      <c r="S58" s="141" t="s">
        <v>370</v>
      </c>
      <c r="W58" s="83" t="s">
        <v>23</v>
      </c>
      <c r="X58" s="110" t="s">
        <v>16</v>
      </c>
      <c r="Y58" s="110">
        <v>15</v>
      </c>
      <c r="Z58" s="110" t="s">
        <v>322</v>
      </c>
      <c r="AA58" s="111">
        <v>0.73349447513812149</v>
      </c>
    </row>
    <row r="59" spans="1:27" ht="13.8" x14ac:dyDescent="0.3">
      <c r="A59" s="81" t="s">
        <v>54</v>
      </c>
      <c r="B59" s="82" t="s">
        <v>56</v>
      </c>
      <c r="C59" s="82">
        <v>12</v>
      </c>
      <c r="D59" s="82" t="s">
        <v>325</v>
      </c>
      <c r="E59" s="102">
        <f t="shared" si="6"/>
        <v>0.99461817608484948</v>
      </c>
      <c r="F59" s="69"/>
      <c r="Q59" s="141" t="s">
        <v>328</v>
      </c>
      <c r="R59" s="142">
        <v>0.66251692368655679</v>
      </c>
      <c r="S59" s="143" t="s">
        <v>371</v>
      </c>
      <c r="W59" s="81" t="s">
        <v>29</v>
      </c>
      <c r="X59" s="82" t="s">
        <v>28</v>
      </c>
      <c r="Y59" s="82">
        <v>14</v>
      </c>
      <c r="Z59" s="82" t="s">
        <v>285</v>
      </c>
      <c r="AA59" s="102">
        <v>0.71562826313957539</v>
      </c>
    </row>
    <row r="60" spans="1:27" ht="13.8" x14ac:dyDescent="0.3">
      <c r="A60" s="144" t="s">
        <v>265</v>
      </c>
      <c r="B60" s="145" t="s">
        <v>56</v>
      </c>
      <c r="C60" s="145">
        <v>12</v>
      </c>
      <c r="D60" s="145" t="s">
        <v>313</v>
      </c>
      <c r="E60" s="146">
        <f t="shared" si="6"/>
        <v>0.99533285779852521</v>
      </c>
      <c r="F60" s="69"/>
      <c r="Q60" s="141" t="s">
        <v>329</v>
      </c>
      <c r="R60" s="142">
        <v>0.93843994106691131</v>
      </c>
      <c r="S60" s="141" t="s">
        <v>370</v>
      </c>
      <c r="W60" s="79" t="s">
        <v>48</v>
      </c>
      <c r="X60" s="80" t="s">
        <v>49</v>
      </c>
      <c r="Y60" s="80">
        <v>13</v>
      </c>
      <c r="Z60" s="80" t="s">
        <v>279</v>
      </c>
      <c r="AA60" s="101">
        <v>0.68875112521618576</v>
      </c>
    </row>
    <row r="61" spans="1:27" ht="13.8" x14ac:dyDescent="0.3">
      <c r="A61" s="81" t="s">
        <v>42</v>
      </c>
      <c r="B61" s="82" t="s">
        <v>65</v>
      </c>
      <c r="C61" s="82">
        <v>10</v>
      </c>
      <c r="D61" s="82" t="s">
        <v>320</v>
      </c>
      <c r="E61" s="102">
        <f t="shared" si="6"/>
        <v>0.93520619672453054</v>
      </c>
      <c r="F61" s="69"/>
      <c r="Q61" s="141" t="s">
        <v>330</v>
      </c>
      <c r="R61" s="142">
        <v>0.83267459864721705</v>
      </c>
      <c r="S61" s="143" t="s">
        <v>370</v>
      </c>
      <c r="W61" s="83" t="s">
        <v>25</v>
      </c>
      <c r="X61" s="80" t="s">
        <v>16</v>
      </c>
      <c r="Y61" s="80">
        <v>15</v>
      </c>
      <c r="Z61" s="80" t="s">
        <v>328</v>
      </c>
      <c r="AA61" s="101">
        <v>0.66251692368655679</v>
      </c>
    </row>
    <row r="62" spans="1:27" ht="14.4" thickBot="1" x14ac:dyDescent="0.35">
      <c r="A62" s="162" t="s">
        <v>248</v>
      </c>
      <c r="B62" s="163" t="s">
        <v>123</v>
      </c>
      <c r="C62" s="163">
        <v>6</v>
      </c>
      <c r="D62" s="163" t="s">
        <v>294</v>
      </c>
      <c r="E62" s="164">
        <f t="shared" si="6"/>
        <v>0.11951366732775717</v>
      </c>
      <c r="F62" s="69"/>
      <c r="Q62" s="141" t="s">
        <v>331</v>
      </c>
      <c r="R62" s="142">
        <v>0.98872477714287255</v>
      </c>
      <c r="S62" s="141" t="s">
        <v>370</v>
      </c>
      <c r="W62" s="79" t="s">
        <v>51</v>
      </c>
      <c r="X62" s="80" t="s">
        <v>49</v>
      </c>
      <c r="Y62" s="80">
        <v>13</v>
      </c>
      <c r="Z62" s="80" t="s">
        <v>298</v>
      </c>
      <c r="AA62" s="101">
        <v>0.64970550208303401</v>
      </c>
    </row>
    <row r="63" spans="1:27" ht="13.8" x14ac:dyDescent="0.3">
      <c r="A63" s="79" t="s">
        <v>262</v>
      </c>
      <c r="B63" s="80" t="s">
        <v>108</v>
      </c>
      <c r="C63" s="80">
        <v>19</v>
      </c>
      <c r="D63" s="80" t="s">
        <v>309</v>
      </c>
      <c r="E63" s="101">
        <f t="shared" si="6"/>
        <v>0.78418126509511765</v>
      </c>
      <c r="F63" s="69"/>
      <c r="Q63" s="141" t="s">
        <v>332</v>
      </c>
      <c r="R63" s="142">
        <v>0.97036252976978032</v>
      </c>
      <c r="S63" s="143" t="s">
        <v>370</v>
      </c>
      <c r="W63" s="81" t="s">
        <v>18</v>
      </c>
      <c r="X63" s="82" t="s">
        <v>10</v>
      </c>
      <c r="Y63" s="82">
        <v>16</v>
      </c>
      <c r="Z63" s="82" t="s">
        <v>86</v>
      </c>
      <c r="AA63" s="102">
        <v>0.63157463237392464</v>
      </c>
    </row>
    <row r="64" spans="1:27" ht="13.8" x14ac:dyDescent="0.3">
      <c r="A64" s="79" t="s">
        <v>263</v>
      </c>
      <c r="B64" s="80" t="s">
        <v>2</v>
      </c>
      <c r="C64" s="80">
        <v>17</v>
      </c>
      <c r="D64" s="80" t="s">
        <v>282</v>
      </c>
      <c r="E64" s="101">
        <f t="shared" si="6"/>
        <v>0.89001113183270453</v>
      </c>
      <c r="F64" s="65"/>
      <c r="Q64" s="141" t="s">
        <v>333</v>
      </c>
      <c r="R64" s="142">
        <v>0.98538704581358605</v>
      </c>
      <c r="S64" s="141" t="s">
        <v>370</v>
      </c>
      <c r="W64" s="79" t="s">
        <v>67</v>
      </c>
      <c r="X64" s="80" t="s">
        <v>49</v>
      </c>
      <c r="Y64" s="80">
        <v>13</v>
      </c>
      <c r="Z64" s="80" t="s">
        <v>278</v>
      </c>
      <c r="AA64" s="101">
        <v>0.62875460562079877</v>
      </c>
    </row>
    <row r="65" spans="1:27" ht="13.8" x14ac:dyDescent="0.3">
      <c r="A65" s="81" t="s">
        <v>264</v>
      </c>
      <c r="B65" s="82" t="s">
        <v>56</v>
      </c>
      <c r="C65" s="82">
        <v>12</v>
      </c>
      <c r="D65" s="82" t="s">
        <v>332</v>
      </c>
      <c r="E65" s="102">
        <f t="shared" si="6"/>
        <v>0.97036252976978032</v>
      </c>
      <c r="F65" s="69"/>
      <c r="Q65" s="141" t="s">
        <v>334</v>
      </c>
      <c r="R65" s="142">
        <v>0.975461842272901</v>
      </c>
      <c r="S65" s="141" t="s">
        <v>370</v>
      </c>
      <c r="W65" s="79" t="s">
        <v>22</v>
      </c>
      <c r="X65" s="80" t="s">
        <v>49</v>
      </c>
      <c r="Y65" s="80">
        <v>13</v>
      </c>
      <c r="Z65" s="80" t="s">
        <v>316</v>
      </c>
      <c r="AA65" s="101">
        <v>0.62481029959532464</v>
      </c>
    </row>
    <row r="66" spans="1:27" ht="13.8" x14ac:dyDescent="0.3">
      <c r="A66" s="83" t="s">
        <v>50</v>
      </c>
      <c r="B66" s="84" t="s">
        <v>372</v>
      </c>
      <c r="C66" s="84"/>
      <c r="D66" s="110" t="s">
        <v>286</v>
      </c>
      <c r="E66" s="111">
        <f t="shared" si="6"/>
        <v>0.99609846555590886</v>
      </c>
      <c r="F66" s="12"/>
      <c r="Q66" s="141" t="s">
        <v>335</v>
      </c>
      <c r="R66" s="142">
        <v>0.91865112788863534</v>
      </c>
      <c r="S66" s="141" t="s">
        <v>370</v>
      </c>
      <c r="W66" s="83" t="s">
        <v>43</v>
      </c>
      <c r="X66" s="80" t="s">
        <v>16</v>
      </c>
      <c r="Y66" s="80">
        <v>15</v>
      </c>
      <c r="Z66" s="110" t="s">
        <v>324</v>
      </c>
      <c r="AA66" s="111">
        <v>0.61841824770837783</v>
      </c>
    </row>
    <row r="67" spans="1:27" ht="14.4" thickBot="1" x14ac:dyDescent="0.35">
      <c r="A67" s="91" t="s">
        <v>76</v>
      </c>
      <c r="B67" s="92" t="s">
        <v>372</v>
      </c>
      <c r="C67" s="92"/>
      <c r="D67" s="92" t="s">
        <v>333</v>
      </c>
      <c r="E67" s="104">
        <f t="shared" si="6"/>
        <v>0.98538704581358605</v>
      </c>
      <c r="F67" s="9"/>
      <c r="Q67" s="141" t="s">
        <v>336</v>
      </c>
      <c r="R67" s="142">
        <v>1</v>
      </c>
      <c r="S67" s="141" t="s">
        <v>370</v>
      </c>
      <c r="W67" s="81" t="s">
        <v>11</v>
      </c>
      <c r="X67" s="82" t="s">
        <v>28</v>
      </c>
      <c r="Y67" s="82">
        <v>14</v>
      </c>
      <c r="Z67" s="82" t="s">
        <v>297</v>
      </c>
      <c r="AA67" s="102">
        <v>0.58646630934150079</v>
      </c>
    </row>
    <row r="68" spans="1:27" ht="13.8" x14ac:dyDescent="0.3">
      <c r="A68" s="76" t="s">
        <v>135</v>
      </c>
      <c r="B68" s="78" t="s">
        <v>28</v>
      </c>
      <c r="C68" s="77">
        <f>AVERAGE(C7:C62)</f>
        <v>14.160714285714286</v>
      </c>
      <c r="D68" s="77"/>
      <c r="E68" s="77"/>
      <c r="F68" s="9"/>
      <c r="G68" s="66"/>
      <c r="Q68" s="141" t="s">
        <v>337</v>
      </c>
      <c r="R68" s="142">
        <v>0.94700000000000006</v>
      </c>
      <c r="S68" s="141" t="s">
        <v>370</v>
      </c>
      <c r="W68" s="79" t="s">
        <v>40</v>
      </c>
      <c r="X68" s="80" t="s">
        <v>49</v>
      </c>
      <c r="Y68" s="80">
        <v>13</v>
      </c>
      <c r="Z68" s="80" t="s">
        <v>310</v>
      </c>
      <c r="AA68" s="101">
        <v>0.57845507252191697</v>
      </c>
    </row>
    <row r="69" spans="1:27" ht="14.4" thickBot="1" x14ac:dyDescent="0.35">
      <c r="A69" s="7"/>
      <c r="B69" s="5"/>
      <c r="F69" s="9"/>
      <c r="Q69" s="141"/>
      <c r="R69" s="142"/>
      <c r="S69" s="141"/>
      <c r="W69" s="154" t="s">
        <v>45</v>
      </c>
      <c r="X69" s="156" t="s">
        <v>28</v>
      </c>
      <c r="Y69" s="156">
        <v>14</v>
      </c>
      <c r="Z69" s="156" t="s">
        <v>318</v>
      </c>
      <c r="AA69" s="159">
        <v>0.5641445718679996</v>
      </c>
    </row>
    <row r="70" spans="1:27" ht="13.8" x14ac:dyDescent="0.3">
      <c r="A70" s="7"/>
      <c r="B70" s="5"/>
      <c r="F70" s="14"/>
      <c r="G70" s="66"/>
      <c r="Q70" s="141"/>
      <c r="R70" s="142"/>
      <c r="S70" s="141"/>
      <c r="W70" s="81" t="s">
        <v>369</v>
      </c>
      <c r="X70" s="82" t="s">
        <v>10</v>
      </c>
      <c r="Y70" s="82">
        <v>16</v>
      </c>
      <c r="Z70" s="82" t="s">
        <v>368</v>
      </c>
      <c r="AA70" s="102">
        <v>0.541533003736272</v>
      </c>
    </row>
    <row r="71" spans="1:27" ht="13.8" x14ac:dyDescent="0.3">
      <c r="A71" s="85" t="s">
        <v>266</v>
      </c>
      <c r="F71" s="14"/>
      <c r="Q71" s="99"/>
      <c r="R71" s="98"/>
      <c r="S71" s="97"/>
      <c r="W71" s="83" t="s">
        <v>39</v>
      </c>
      <c r="X71" s="80" t="s">
        <v>49</v>
      </c>
      <c r="Y71" s="80">
        <v>13</v>
      </c>
      <c r="Z71" s="110" t="s">
        <v>301</v>
      </c>
      <c r="AA71" s="111">
        <v>0.47637430521244206</v>
      </c>
    </row>
    <row r="72" spans="1:27" ht="13.8" x14ac:dyDescent="0.3">
      <c r="A72" s="85" t="s">
        <v>365</v>
      </c>
      <c r="B72" s="133"/>
      <c r="C72" s="134"/>
      <c r="D72" s="134"/>
      <c r="E72" s="134"/>
      <c r="F72" s="14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0.36101059894989318</v>
      </c>
    </row>
    <row r="73" spans="1:27" ht="13.8" x14ac:dyDescent="0.3">
      <c r="A73" s="132" t="s">
        <v>355</v>
      </c>
      <c r="B73" s="133"/>
      <c r="C73" s="134"/>
      <c r="D73" s="134"/>
      <c r="E73" s="134"/>
      <c r="F73" s="135"/>
      <c r="Q73" s="99"/>
      <c r="R73" s="98"/>
      <c r="S73" s="97"/>
      <c r="W73" s="83" t="s">
        <v>259</v>
      </c>
      <c r="X73" s="110" t="s">
        <v>49</v>
      </c>
      <c r="Y73" s="110">
        <v>13</v>
      </c>
      <c r="Z73" s="110" t="s">
        <v>281</v>
      </c>
      <c r="AA73" s="111">
        <v>0.33305692234682915</v>
      </c>
    </row>
    <row r="74" spans="1:27" ht="14.4" thickBot="1" x14ac:dyDescent="0.35">
      <c r="A74" s="132" t="s">
        <v>356</v>
      </c>
      <c r="B74" s="133"/>
      <c r="C74" s="134"/>
      <c r="D74" s="134"/>
      <c r="E74" s="134"/>
      <c r="F74" s="135"/>
      <c r="Q74" s="99"/>
      <c r="R74" s="98"/>
      <c r="S74" s="97"/>
      <c r="W74" s="112" t="s">
        <v>248</v>
      </c>
      <c r="X74" s="158" t="s">
        <v>123</v>
      </c>
      <c r="Y74" s="158">
        <v>6</v>
      </c>
      <c r="Z74" s="158" t="s">
        <v>294</v>
      </c>
      <c r="AA74" s="161">
        <v>0.11951366732775717</v>
      </c>
    </row>
    <row r="75" spans="1:27" ht="13.8" x14ac:dyDescent="0.3">
      <c r="A75" s="132" t="s">
        <v>357</v>
      </c>
      <c r="D75" s="14"/>
      <c r="E75" s="1"/>
      <c r="F75" s="135"/>
      <c r="Q75" s="99"/>
      <c r="R75" s="98"/>
      <c r="S75" s="97"/>
    </row>
    <row r="76" spans="1:27" ht="13.8" x14ac:dyDescent="0.3">
      <c r="A76" s="85" t="s">
        <v>358</v>
      </c>
      <c r="D76" s="14"/>
      <c r="E76" s="1"/>
      <c r="Q76" s="99"/>
      <c r="R76" s="98"/>
      <c r="S76" s="97"/>
    </row>
    <row r="77" spans="1:27" ht="13.8" x14ac:dyDescent="0.3">
      <c r="A77" s="85"/>
      <c r="D77" s="14"/>
      <c r="E77" s="1"/>
      <c r="Q77" s="99"/>
      <c r="R77" s="100"/>
      <c r="S77" s="99"/>
    </row>
    <row r="78" spans="1:27" x14ac:dyDescent="0.25">
      <c r="A78" s="85"/>
    </row>
    <row r="79" spans="1:27" x14ac:dyDescent="0.25">
      <c r="A79" s="33"/>
      <c r="E79" s="120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Q80" s="1"/>
      <c r="R80" s="1"/>
      <c r="S80" s="1"/>
      <c r="AA80" s="136"/>
    </row>
    <row r="81" spans="1:27" s="133" customFormat="1" x14ac:dyDescent="0.25">
      <c r="AA81" s="136"/>
    </row>
    <row r="82" spans="1:27" s="133" customFormat="1" x14ac:dyDescent="0.25">
      <c r="A82" s="1"/>
      <c r="B82" s="1"/>
      <c r="C82" s="4"/>
      <c r="D82" s="4"/>
      <c r="E82" s="120"/>
      <c r="F82" s="1"/>
      <c r="G82" s="1"/>
      <c r="W82" s="1"/>
      <c r="X82" s="1"/>
      <c r="Y82" s="1"/>
      <c r="Z82" s="1"/>
      <c r="AA82" s="1"/>
    </row>
    <row r="83" spans="1:27" x14ac:dyDescent="0.25">
      <c r="E83" s="121"/>
      <c r="Q83" s="133"/>
      <c r="R83" s="133"/>
      <c r="S83" s="133"/>
      <c r="AA83" s="1"/>
    </row>
    <row r="84" spans="1:27" x14ac:dyDescent="0.25">
      <c r="AA84" s="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21">
    <tabColor rgb="FF0070C0"/>
    <pageSetUpPr fitToPage="1"/>
  </sheetPr>
  <dimension ref="A1:AH88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375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 t="s">
        <v>359</v>
      </c>
    </row>
    <row r="6" spans="1:33" ht="13.8" x14ac:dyDescent="0.3">
      <c r="A6" s="150" t="s">
        <v>0</v>
      </c>
      <c r="B6" s="151" t="s">
        <v>376</v>
      </c>
      <c r="C6" s="152"/>
      <c r="D6" s="152"/>
      <c r="E6" s="153">
        <v>40178</v>
      </c>
      <c r="W6" s="150" t="s">
        <v>0</v>
      </c>
      <c r="X6" s="151" t="s">
        <v>376</v>
      </c>
      <c r="Y6" s="152"/>
      <c r="Z6" s="152"/>
      <c r="AA6" s="153">
        <v>40178</v>
      </c>
      <c r="AC6" s="108" t="s">
        <v>137</v>
      </c>
      <c r="AD6" s="109"/>
      <c r="AE6" s="109"/>
      <c r="AF6" s="77">
        <f>AVERAGE(Y$13:Y$49)</f>
        <v>14.257142857142858</v>
      </c>
      <c r="AG6" s="126">
        <f>AF6-Credit_2009Q4!AF6</f>
        <v>5.7142857142858716E-2</v>
      </c>
    </row>
    <row r="7" spans="1:33" ht="14.4" thickBot="1" x14ac:dyDescent="0.35">
      <c r="A7" s="81" t="s">
        <v>6</v>
      </c>
      <c r="B7" s="82" t="s">
        <v>110</v>
      </c>
      <c r="C7" s="82">
        <v>18</v>
      </c>
      <c r="D7" s="82" t="s">
        <v>312</v>
      </c>
      <c r="E7" s="102">
        <f t="shared" ref="E7:E14" si="0"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1" t="s">
        <v>87</v>
      </c>
      <c r="X7" s="82" t="s">
        <v>10</v>
      </c>
      <c r="Y7" s="82">
        <v>16</v>
      </c>
      <c r="Z7" s="82" t="s">
        <v>303</v>
      </c>
      <c r="AA7" s="102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7</v>
      </c>
      <c r="B8" s="80" t="s">
        <v>2</v>
      </c>
      <c r="C8" s="80">
        <v>17</v>
      </c>
      <c r="D8" s="80" t="s">
        <v>327</v>
      </c>
      <c r="E8" s="101">
        <f t="shared" si="0"/>
        <v>0.93000422702993502</v>
      </c>
      <c r="F8" s="65"/>
      <c r="G8" s="72" t="s">
        <v>138</v>
      </c>
      <c r="H8" s="86">
        <f>COUNTIF(C$7:C$74,"&gt;16")</f>
        <v>4</v>
      </c>
      <c r="I8" s="87">
        <f>H8/H$14</f>
        <v>6.0606060606060608E-2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1" t="s">
        <v>5</v>
      </c>
      <c r="X8" s="82" t="s">
        <v>10</v>
      </c>
      <c r="Y8" s="82">
        <v>16</v>
      </c>
      <c r="Z8" s="82" t="s">
        <v>311</v>
      </c>
      <c r="AA8" s="102" t="s">
        <v>372</v>
      </c>
      <c r="AC8" s="72" t="s">
        <v>138</v>
      </c>
      <c r="AD8" s="86">
        <f>COUNTIF(Y$13:Y$49,"&gt;16")</f>
        <v>3</v>
      </c>
      <c r="AE8" s="87">
        <f>AD8/AD$14</f>
        <v>8.5714285714285715E-2</v>
      </c>
      <c r="AG8" s="127"/>
    </row>
    <row r="9" spans="1:33" ht="13.8" x14ac:dyDescent="0.3">
      <c r="A9" s="81" t="s">
        <v>3</v>
      </c>
      <c r="B9" s="82" t="s">
        <v>10</v>
      </c>
      <c r="C9" s="82">
        <v>16</v>
      </c>
      <c r="D9" s="82" t="s">
        <v>291</v>
      </c>
      <c r="E9" s="102">
        <f t="shared" si="0"/>
        <v>0.89410444897115693</v>
      </c>
      <c r="F9" s="65"/>
      <c r="G9" s="72" t="s">
        <v>10</v>
      </c>
      <c r="H9" s="86">
        <f>COUNTIF(C$7:C$74,"=16")</f>
        <v>10</v>
      </c>
      <c r="I9" s="87">
        <f t="shared" ref="I9:I14" si="1">H9/H$14</f>
        <v>0.15151515151515152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80" t="s">
        <v>16</v>
      </c>
      <c r="Y9" s="80">
        <v>15</v>
      </c>
      <c r="Z9" s="80" t="s">
        <v>304</v>
      </c>
      <c r="AA9" s="101" t="s">
        <v>372</v>
      </c>
      <c r="AC9" s="72" t="s">
        <v>10</v>
      </c>
      <c r="AD9" s="86">
        <f>COUNTIF(Y$13:Y$49,"=16")</f>
        <v>5</v>
      </c>
      <c r="AE9" s="87">
        <f t="shared" ref="AE9:AE14" si="2">AD9/AD$14</f>
        <v>0.14285714285714285</v>
      </c>
      <c r="AG9" s="127"/>
    </row>
    <row r="10" spans="1:33" ht="13.8" x14ac:dyDescent="0.3">
      <c r="A10" s="81" t="s">
        <v>18</v>
      </c>
      <c r="B10" s="82" t="s">
        <v>10</v>
      </c>
      <c r="C10" s="82">
        <v>16</v>
      </c>
      <c r="D10" s="82" t="s">
        <v>86</v>
      </c>
      <c r="E10" s="102">
        <f t="shared" si="0"/>
        <v>0.58142655748172922</v>
      </c>
      <c r="F10" s="65"/>
      <c r="G10" s="72" t="s">
        <v>16</v>
      </c>
      <c r="H10" s="86">
        <f>COUNTIF(C$7:C$74,"=15")</f>
        <v>16</v>
      </c>
      <c r="I10" s="87">
        <f t="shared" si="1"/>
        <v>0.24242424242424243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80" t="s">
        <v>16</v>
      </c>
      <c r="Y10" s="80">
        <v>15</v>
      </c>
      <c r="Z10" s="80" t="s">
        <v>305</v>
      </c>
      <c r="AA10" s="101" t="s">
        <v>372</v>
      </c>
      <c r="AC10" s="72" t="s">
        <v>16</v>
      </c>
      <c r="AD10" s="86">
        <f>COUNTIF(Y$13:Y$49,"=15")</f>
        <v>6</v>
      </c>
      <c r="AE10" s="87">
        <f t="shared" si="2"/>
        <v>0.17142857142857143</v>
      </c>
      <c r="AG10" s="127"/>
    </row>
    <row r="11" spans="1:33" ht="13.8" x14ac:dyDescent="0.3">
      <c r="A11" s="81" t="s">
        <v>64</v>
      </c>
      <c r="B11" s="82" t="s">
        <v>10</v>
      </c>
      <c r="C11" s="82">
        <v>16</v>
      </c>
      <c r="D11" s="82" t="s">
        <v>287</v>
      </c>
      <c r="E11" s="102">
        <f t="shared" si="0"/>
        <v>1</v>
      </c>
      <c r="F11" s="65"/>
      <c r="G11" s="72" t="s">
        <v>28</v>
      </c>
      <c r="H11" s="86">
        <f>COUNTIF(C$7:C$74,"=14")</f>
        <v>16</v>
      </c>
      <c r="I11" s="87">
        <f t="shared" si="1"/>
        <v>0.24242424242424243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1" t="s">
        <v>38</v>
      </c>
      <c r="X11" s="82" t="s">
        <v>28</v>
      </c>
      <c r="Y11" s="82">
        <v>14</v>
      </c>
      <c r="Z11" s="82" t="s">
        <v>299</v>
      </c>
      <c r="AA11" s="102" t="s">
        <v>372</v>
      </c>
      <c r="AC11" s="72" t="s">
        <v>28</v>
      </c>
      <c r="AD11" s="86">
        <f>COUNTIF(Y$13:Y$49,"=14")</f>
        <v>11</v>
      </c>
      <c r="AE11" s="87">
        <f t="shared" si="2"/>
        <v>0.31428571428571428</v>
      </c>
      <c r="AG11" s="127"/>
    </row>
    <row r="12" spans="1:33" ht="13.8" x14ac:dyDescent="0.3">
      <c r="A12" s="81" t="s">
        <v>32</v>
      </c>
      <c r="B12" s="82" t="s">
        <v>10</v>
      </c>
      <c r="C12" s="82">
        <v>16</v>
      </c>
      <c r="D12" s="82" t="s">
        <v>289</v>
      </c>
      <c r="E12" s="102">
        <f t="shared" si="0"/>
        <v>0.7497019635343618</v>
      </c>
      <c r="F12" s="65"/>
      <c r="G12" s="72" t="s">
        <v>49</v>
      </c>
      <c r="H12" s="86">
        <f>COUNTIF(C$7:C$74,"=13")</f>
        <v>15</v>
      </c>
      <c r="I12" s="87">
        <f t="shared" si="1"/>
        <v>0.22727272727272727</v>
      </c>
      <c r="Q12" s="141" t="s">
        <v>278</v>
      </c>
      <c r="R12" s="142">
        <v>0.62875460562079877</v>
      </c>
      <c r="S12" s="143" t="s">
        <v>371</v>
      </c>
      <c r="W12" s="79" t="s">
        <v>261</v>
      </c>
      <c r="X12" s="80" t="s">
        <v>49</v>
      </c>
      <c r="Y12" s="80">
        <v>13</v>
      </c>
      <c r="Z12" s="80" t="s">
        <v>185</v>
      </c>
      <c r="AA12" s="101" t="s">
        <v>372</v>
      </c>
      <c r="AC12" s="72" t="s">
        <v>49</v>
      </c>
      <c r="AD12" s="86">
        <f>COUNTIF(Y$13:Y$49,"=13")</f>
        <v>6</v>
      </c>
      <c r="AE12" s="87">
        <f t="shared" si="2"/>
        <v>0.17142857142857143</v>
      </c>
      <c r="AG12" s="127"/>
    </row>
    <row r="13" spans="1:33" ht="14.4" thickBot="1" x14ac:dyDescent="0.35">
      <c r="A13" s="81" t="s">
        <v>19</v>
      </c>
      <c r="B13" s="82" t="s">
        <v>10</v>
      </c>
      <c r="C13" s="82">
        <v>16</v>
      </c>
      <c r="D13" s="82" t="s">
        <v>290</v>
      </c>
      <c r="E13" s="102">
        <f t="shared" si="0"/>
        <v>0.96341849943457658</v>
      </c>
      <c r="F13" s="65"/>
      <c r="G13" s="93" t="s">
        <v>79</v>
      </c>
      <c r="H13" s="94">
        <f>COUNTIF(C$7:C$74,"&lt;13")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1" t="s">
        <v>260</v>
      </c>
      <c r="X13" s="82" t="s">
        <v>28</v>
      </c>
      <c r="Y13" s="82">
        <v>14</v>
      </c>
      <c r="Z13" s="82" t="s">
        <v>300</v>
      </c>
      <c r="AA13" s="102">
        <v>1.0333026830763428</v>
      </c>
      <c r="AC13" s="93" t="s">
        <v>79</v>
      </c>
      <c r="AD13" s="94">
        <f>COUNTIF(Y$13:Y$49,"&lt;13")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369</v>
      </c>
      <c r="B14" s="82" t="s">
        <v>10</v>
      </c>
      <c r="C14" s="82">
        <v>16</v>
      </c>
      <c r="D14" s="82" t="s">
        <v>368</v>
      </c>
      <c r="E14" s="102">
        <f t="shared" si="0"/>
        <v>0.55330389203021169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79" t="s">
        <v>35</v>
      </c>
      <c r="X14" s="80" t="s">
        <v>49</v>
      </c>
      <c r="Y14" s="80">
        <v>13</v>
      </c>
      <c r="Z14" s="80" t="s">
        <v>292</v>
      </c>
      <c r="AA14" s="101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1" t="s">
        <v>64</v>
      </c>
      <c r="X15" s="82" t="s">
        <v>10</v>
      </c>
      <c r="Y15" s="82">
        <v>16</v>
      </c>
      <c r="Z15" s="82" t="s">
        <v>287</v>
      </c>
      <c r="AA15" s="102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1" t="s">
        <v>34</v>
      </c>
      <c r="X16" s="82" t="s">
        <v>28</v>
      </c>
      <c r="Y16" s="82">
        <v>14</v>
      </c>
      <c r="Z16" s="82" t="s">
        <v>293</v>
      </c>
      <c r="AA16" s="102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ref="E17:E22" si="3">VLOOKUP($D17,$Q$7:$R$69,2,0)</f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1" t="s">
        <v>24</v>
      </c>
      <c r="X17" s="82" t="s">
        <v>28</v>
      </c>
      <c r="Y17" s="82">
        <v>14</v>
      </c>
      <c r="Z17" s="82" t="s">
        <v>323</v>
      </c>
      <c r="AA17" s="102">
        <v>1</v>
      </c>
      <c r="AC17" s="108" t="s">
        <v>139</v>
      </c>
      <c r="AD17" s="109"/>
      <c r="AE17" s="109"/>
      <c r="AF17" s="77">
        <f>AVERAGE(Y$50:Y$69)</f>
        <v>14.55</v>
      </c>
      <c r="AG17" s="126">
        <f>AF17-Credit_2009Q4!AF17</f>
        <v>-4.9999999999998934E-2</v>
      </c>
    </row>
    <row r="18" spans="1:33" ht="14.4" thickBot="1" x14ac:dyDescent="0.35">
      <c r="A18" s="81" t="s">
        <v>257</v>
      </c>
      <c r="B18" s="82" t="s">
        <v>10</v>
      </c>
      <c r="C18" s="82">
        <v>16</v>
      </c>
      <c r="D18" s="82" t="s">
        <v>337</v>
      </c>
      <c r="E18" s="102">
        <f t="shared" si="3"/>
        <v>0.94699999999999995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1" t="s">
        <v>59</v>
      </c>
      <c r="X18" s="82" t="s">
        <v>28</v>
      </c>
      <c r="Y18" s="82">
        <v>14</v>
      </c>
      <c r="Z18" s="82" t="s">
        <v>336</v>
      </c>
      <c r="AA18" s="102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15</v>
      </c>
      <c r="B19" s="80" t="s">
        <v>16</v>
      </c>
      <c r="C19" s="80">
        <v>15</v>
      </c>
      <c r="D19" s="80" t="s">
        <v>276</v>
      </c>
      <c r="E19" s="101">
        <f t="shared" si="3"/>
        <v>0.91262379340604238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79" t="s">
        <v>58</v>
      </c>
      <c r="X19" s="80" t="s">
        <v>49</v>
      </c>
      <c r="Y19" s="80">
        <v>13</v>
      </c>
      <c r="Z19" s="80" t="s">
        <v>275</v>
      </c>
      <c r="AA19" s="101">
        <v>1</v>
      </c>
      <c r="AC19" s="72" t="s">
        <v>138</v>
      </c>
      <c r="AD19" s="86">
        <f>COUNTIF(Y$50:Y$69,"&gt;16")</f>
        <v>1</v>
      </c>
      <c r="AE19" s="87">
        <f>AD19/AD$14</f>
        <v>2.8571428571428571E-2</v>
      </c>
      <c r="AG19" s="127"/>
    </row>
    <row r="20" spans="1:33" ht="13.8" x14ac:dyDescent="0.3">
      <c r="A20" s="83" t="s">
        <v>17</v>
      </c>
      <c r="B20" s="80" t="s">
        <v>16</v>
      </c>
      <c r="C20" s="80">
        <v>15</v>
      </c>
      <c r="D20" s="80" t="s">
        <v>306</v>
      </c>
      <c r="E20" s="101">
        <f t="shared" si="3"/>
        <v>0.84890438247011957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80" t="s">
        <v>16</v>
      </c>
      <c r="Y20" s="80">
        <v>15</v>
      </c>
      <c r="Z20" s="80" t="s">
        <v>317</v>
      </c>
      <c r="AA20" s="101">
        <v>0.99967400162999187</v>
      </c>
      <c r="AC20" s="72" t="s">
        <v>10</v>
      </c>
      <c r="AD20" s="86">
        <f>COUNTIF(Y$50:Y$69,"=16")</f>
        <v>3</v>
      </c>
      <c r="AE20" s="87">
        <f t="shared" ref="AE20:AE25" si="4">AD20/AD$14</f>
        <v>8.5714285714285715E-2</v>
      </c>
      <c r="AG20" s="127"/>
    </row>
    <row r="21" spans="1:33" ht="13.8" x14ac:dyDescent="0.3">
      <c r="A21" s="83" t="s">
        <v>31</v>
      </c>
      <c r="B21" s="80" t="s">
        <v>16</v>
      </c>
      <c r="C21" s="80">
        <v>15</v>
      </c>
      <c r="D21" s="110" t="s">
        <v>288</v>
      </c>
      <c r="E21" s="111">
        <f t="shared" si="3"/>
        <v>0.81467245298615421</v>
      </c>
      <c r="F21" s="69"/>
      <c r="Q21" s="141" t="s">
        <v>86</v>
      </c>
      <c r="R21" s="142">
        <v>0.58142655748172922</v>
      </c>
      <c r="S21" s="143" t="s">
        <v>371</v>
      </c>
      <c r="W21" s="79" t="s">
        <v>265</v>
      </c>
      <c r="X21" s="80" t="s">
        <v>61</v>
      </c>
      <c r="Y21" s="80">
        <v>11</v>
      </c>
      <c r="Z21" s="80" t="s">
        <v>313</v>
      </c>
      <c r="AA21" s="101">
        <v>0.99872589064335693</v>
      </c>
      <c r="AC21" s="72" t="s">
        <v>16</v>
      </c>
      <c r="AD21" s="86">
        <f>COUNTIF(Y$50:Y$69,"=15")</f>
        <v>6</v>
      </c>
      <c r="AE21" s="87">
        <f t="shared" si="4"/>
        <v>0.17142857142857143</v>
      </c>
      <c r="AG21" s="127"/>
    </row>
    <row r="22" spans="1:33" ht="13.8" x14ac:dyDescent="0.3">
      <c r="A22" s="83" t="s">
        <v>253</v>
      </c>
      <c r="B22" s="80" t="s">
        <v>16</v>
      </c>
      <c r="C22" s="80">
        <v>15</v>
      </c>
      <c r="D22" s="80" t="s">
        <v>330</v>
      </c>
      <c r="E22" s="101">
        <f t="shared" si="3"/>
        <v>0.66731657086909912</v>
      </c>
      <c r="F22" s="65"/>
      <c r="Q22" s="141" t="s">
        <v>287</v>
      </c>
      <c r="R22" s="142">
        <v>1</v>
      </c>
      <c r="S22" s="141" t="s">
        <v>370</v>
      </c>
      <c r="W22" s="81" t="s">
        <v>6</v>
      </c>
      <c r="X22" s="82" t="s">
        <v>110</v>
      </c>
      <c r="Y22" s="82">
        <v>18</v>
      </c>
      <c r="Z22" s="82" t="s">
        <v>312</v>
      </c>
      <c r="AA22" s="102">
        <v>0.99706741779950658</v>
      </c>
      <c r="AC22" s="72" t="s">
        <v>28</v>
      </c>
      <c r="AD22" s="86">
        <f>COUNTIF(Y$50:Y$69,"=14")</f>
        <v>4</v>
      </c>
      <c r="AE22" s="87">
        <f t="shared" si="4"/>
        <v>0.11428571428571428</v>
      </c>
      <c r="AG22" s="127"/>
    </row>
    <row r="23" spans="1:33" ht="13.8" x14ac:dyDescent="0.3">
      <c r="A23" s="83" t="s">
        <v>254</v>
      </c>
      <c r="B23" s="80" t="s">
        <v>16</v>
      </c>
      <c r="C23" s="80">
        <v>15</v>
      </c>
      <c r="D23" s="80" t="s">
        <v>304</v>
      </c>
      <c r="E23" s="101" t="s">
        <v>372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50</v>
      </c>
      <c r="X23" s="84" t="s">
        <v>372</v>
      </c>
      <c r="Y23" s="84"/>
      <c r="Z23" s="110" t="s">
        <v>286</v>
      </c>
      <c r="AA23" s="111">
        <v>0.99675869094774683</v>
      </c>
      <c r="AC23" s="72" t="s">
        <v>49</v>
      </c>
      <c r="AD23" s="86">
        <f>COUNTIF(Y$50:Y$69,"=13")</f>
        <v>6</v>
      </c>
      <c r="AE23" s="87">
        <f t="shared" si="4"/>
        <v>0.17142857142857143</v>
      </c>
      <c r="AG23" s="127"/>
    </row>
    <row r="24" spans="1:33" ht="14.4" thickBot="1" x14ac:dyDescent="0.35">
      <c r="A24" s="83" t="s">
        <v>255</v>
      </c>
      <c r="B24" s="80" t="s">
        <v>16</v>
      </c>
      <c r="C24" s="80">
        <v>15</v>
      </c>
      <c r="D24" s="80" t="s">
        <v>305</v>
      </c>
      <c r="E24" s="101" t="s">
        <v>372</v>
      </c>
      <c r="F24" s="65"/>
      <c r="Q24" s="141" t="s">
        <v>289</v>
      </c>
      <c r="R24" s="142">
        <v>0.7497019635343618</v>
      </c>
      <c r="S24" s="143" t="s">
        <v>371</v>
      </c>
      <c r="W24" s="81" t="s">
        <v>66</v>
      </c>
      <c r="X24" s="82" t="s">
        <v>28</v>
      </c>
      <c r="Y24" s="82">
        <v>14</v>
      </c>
      <c r="Z24" s="82" t="s">
        <v>314</v>
      </c>
      <c r="AA24" s="102">
        <v>0.99458022018280356</v>
      </c>
      <c r="AC24" s="93" t="s">
        <v>79</v>
      </c>
      <c r="AD24" s="94">
        <f>COUNTIF(Y$50:Y$69,"&lt;13")</f>
        <v>0</v>
      </c>
      <c r="AE24" s="95">
        <f t="shared" si="4"/>
        <v>0</v>
      </c>
      <c r="AG24" s="127"/>
    </row>
    <row r="25" spans="1:33" ht="13.8" x14ac:dyDescent="0.3">
      <c r="A25" s="83" t="s">
        <v>12</v>
      </c>
      <c r="B25" s="80" t="s">
        <v>16</v>
      </c>
      <c r="C25" s="80">
        <v>15</v>
      </c>
      <c r="D25" s="80" t="s">
        <v>308</v>
      </c>
      <c r="E25" s="101">
        <f t="shared" ref="E25:E41" si="5">VLOOKUP($D25,$Q$7:$R$69,2,0)</f>
        <v>0.36017814864816144</v>
      </c>
      <c r="F25" s="65"/>
      <c r="Q25" s="141" t="s">
        <v>290</v>
      </c>
      <c r="R25" s="142">
        <v>0.96341849943457658</v>
      </c>
      <c r="S25" s="141" t="s">
        <v>370</v>
      </c>
      <c r="W25" s="81" t="s">
        <v>54</v>
      </c>
      <c r="X25" s="82" t="s">
        <v>56</v>
      </c>
      <c r="Y25" s="82">
        <v>12</v>
      </c>
      <c r="Z25" s="82" t="s">
        <v>325</v>
      </c>
      <c r="AA25" s="102">
        <v>0.99417211067658851</v>
      </c>
      <c r="AC25" s="88" t="s">
        <v>80</v>
      </c>
      <c r="AD25" s="89">
        <f>SUM(AD19:AD24)</f>
        <v>20</v>
      </c>
      <c r="AE25" s="90">
        <f t="shared" si="4"/>
        <v>0.5714285714285714</v>
      </c>
      <c r="AG25" s="127"/>
    </row>
    <row r="26" spans="1:33" ht="13.8" x14ac:dyDescent="0.3">
      <c r="A26" s="83" t="s">
        <v>52</v>
      </c>
      <c r="B26" s="80" t="s">
        <v>16</v>
      </c>
      <c r="C26" s="80">
        <v>15</v>
      </c>
      <c r="D26" s="80" t="s">
        <v>280</v>
      </c>
      <c r="E26" s="101">
        <f t="shared" si="5"/>
        <v>0.7469877361024081</v>
      </c>
      <c r="F26" s="65"/>
      <c r="Q26" s="141" t="s">
        <v>291</v>
      </c>
      <c r="R26" s="142">
        <v>0.89410444897115693</v>
      </c>
      <c r="S26" s="141" t="s">
        <v>370</v>
      </c>
      <c r="W26" s="81" t="s">
        <v>75</v>
      </c>
      <c r="X26" s="82" t="s">
        <v>28</v>
      </c>
      <c r="Y26" s="82">
        <v>14</v>
      </c>
      <c r="Z26" s="82" t="s">
        <v>331</v>
      </c>
      <c r="AA26" s="102">
        <v>0.9915841495030967</v>
      </c>
      <c r="AG26" s="127"/>
    </row>
    <row r="27" spans="1:33" ht="13.8" x14ac:dyDescent="0.3">
      <c r="A27" s="83" t="s">
        <v>21</v>
      </c>
      <c r="B27" s="80" t="s">
        <v>16</v>
      </c>
      <c r="C27" s="80">
        <v>15</v>
      </c>
      <c r="D27" s="80" t="s">
        <v>315</v>
      </c>
      <c r="E27" s="101">
        <f t="shared" si="5"/>
        <v>0.75386351438754873</v>
      </c>
      <c r="F27" s="65"/>
      <c r="Q27" s="141" t="s">
        <v>292</v>
      </c>
      <c r="R27" s="142">
        <v>1.0293089747728885</v>
      </c>
      <c r="S27" s="141" t="s">
        <v>370</v>
      </c>
      <c r="W27" s="79" t="s">
        <v>76</v>
      </c>
      <c r="X27" s="84" t="s">
        <v>372</v>
      </c>
      <c r="Y27" s="84"/>
      <c r="Z27" s="84" t="s">
        <v>333</v>
      </c>
      <c r="AA27" s="103">
        <v>0.98634859349145065</v>
      </c>
      <c r="AG27" s="127"/>
    </row>
    <row r="28" spans="1:33" ht="13.8" x14ac:dyDescent="0.3">
      <c r="A28" s="83" t="s">
        <v>23</v>
      </c>
      <c r="B28" s="110" t="s">
        <v>16</v>
      </c>
      <c r="C28" s="110">
        <v>15</v>
      </c>
      <c r="D28" s="110" t="s">
        <v>322</v>
      </c>
      <c r="E28" s="111">
        <f>VLOOKUP($D28,$Q$7:$R$69,2,0)</f>
        <v>0.64890043729006908</v>
      </c>
      <c r="F28" s="65"/>
      <c r="Q28" s="141" t="s">
        <v>293</v>
      </c>
      <c r="R28" s="142">
        <v>1</v>
      </c>
      <c r="S28" s="141" t="s">
        <v>370</v>
      </c>
      <c r="W28" s="79" t="s">
        <v>41</v>
      </c>
      <c r="X28" s="80" t="s">
        <v>49</v>
      </c>
      <c r="Y28" s="80">
        <v>13</v>
      </c>
      <c r="Z28" s="80" t="s">
        <v>321</v>
      </c>
      <c r="AA28" s="101">
        <v>0.97501693766937669</v>
      </c>
      <c r="AC28" s="108" t="s">
        <v>140</v>
      </c>
      <c r="AD28" s="109"/>
      <c r="AE28" s="109"/>
      <c r="AF28" s="77">
        <f>AVERAGE(Y$70:Y$74)</f>
        <v>12.4</v>
      </c>
      <c r="AG28" s="126">
        <f>AF28-Credit_2009Q4!AF28</f>
        <v>-0.19999999999999929</v>
      </c>
    </row>
    <row r="29" spans="1:33" ht="14.4" thickBot="1" x14ac:dyDescent="0.35">
      <c r="A29" s="83" t="s">
        <v>53</v>
      </c>
      <c r="B29" s="80" t="s">
        <v>16</v>
      </c>
      <c r="C29" s="80">
        <v>15</v>
      </c>
      <c r="D29" s="80" t="s">
        <v>317</v>
      </c>
      <c r="E29" s="101">
        <f t="shared" si="5"/>
        <v>0.99967400162999187</v>
      </c>
      <c r="F29" s="69"/>
      <c r="Q29" s="141" t="s">
        <v>294</v>
      </c>
      <c r="R29" s="142">
        <v>0.27230062686467099</v>
      </c>
      <c r="S29" s="141" t="s">
        <v>86</v>
      </c>
      <c r="W29" s="81" t="s">
        <v>258</v>
      </c>
      <c r="X29" s="82" t="s">
        <v>28</v>
      </c>
      <c r="Y29" s="82">
        <v>14</v>
      </c>
      <c r="Z29" s="82" t="s">
        <v>274</v>
      </c>
      <c r="AA29" s="102">
        <v>0.97067096880946468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43</v>
      </c>
      <c r="B30" s="80" t="s">
        <v>16</v>
      </c>
      <c r="C30" s="80">
        <v>15</v>
      </c>
      <c r="D30" s="110" t="s">
        <v>324</v>
      </c>
      <c r="E30" s="111">
        <f>VLOOKUP($D30,$Q$7:$R$69,2,0)</f>
        <v>0.42404692082111439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264</v>
      </c>
      <c r="X30" s="110" t="s">
        <v>56</v>
      </c>
      <c r="Y30" s="110">
        <v>12</v>
      </c>
      <c r="Z30" s="110" t="s">
        <v>332</v>
      </c>
      <c r="AA30" s="111">
        <v>0.97028603165787286</v>
      </c>
      <c r="AC30" s="72" t="s">
        <v>138</v>
      </c>
      <c r="AD30" s="86">
        <f>COUNTIF(Y$70:Y$74,"&gt;16")</f>
        <v>0</v>
      </c>
      <c r="AE30" s="87">
        <f>AD30/AD$14</f>
        <v>0</v>
      </c>
    </row>
    <row r="31" spans="1:33" ht="13.8" x14ac:dyDescent="0.3">
      <c r="A31" s="83" t="s">
        <v>256</v>
      </c>
      <c r="B31" s="80" t="s">
        <v>16</v>
      </c>
      <c r="C31" s="80">
        <v>15</v>
      </c>
      <c r="D31" s="80" t="s">
        <v>319</v>
      </c>
      <c r="E31" s="101">
        <f t="shared" si="5"/>
        <v>0.85164553720066594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1" t="s">
        <v>14</v>
      </c>
      <c r="X31" s="82" t="s">
        <v>10</v>
      </c>
      <c r="Y31" s="82">
        <v>16</v>
      </c>
      <c r="Z31" s="82" t="s">
        <v>334</v>
      </c>
      <c r="AA31" s="102">
        <v>0.96644084643352246</v>
      </c>
      <c r="AC31" s="72" t="s">
        <v>10</v>
      </c>
      <c r="AD31" s="86">
        <f>COUNTIF(Y$70:Y$74,"=16")</f>
        <v>0</v>
      </c>
      <c r="AE31" s="87">
        <f t="shared" ref="AE31:AE36" si="6">AD31/AD$14</f>
        <v>0</v>
      </c>
    </row>
    <row r="32" spans="1:33" ht="13.8" x14ac:dyDescent="0.3">
      <c r="A32" s="83" t="s">
        <v>13</v>
      </c>
      <c r="B32" s="80" t="s">
        <v>16</v>
      </c>
      <c r="C32" s="80">
        <v>15</v>
      </c>
      <c r="D32" s="80" t="s">
        <v>326</v>
      </c>
      <c r="E32" s="101">
        <f t="shared" si="5"/>
        <v>0.77327600463039525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1" t="s">
        <v>19</v>
      </c>
      <c r="X32" s="82" t="s">
        <v>10</v>
      </c>
      <c r="Y32" s="82">
        <v>16</v>
      </c>
      <c r="Z32" s="82" t="s">
        <v>290</v>
      </c>
      <c r="AA32" s="102">
        <v>0.96341849943457658</v>
      </c>
      <c r="AC32" s="72" t="s">
        <v>16</v>
      </c>
      <c r="AD32" s="86">
        <f>COUNTIF(Y$70:Y$74,"=15")</f>
        <v>2</v>
      </c>
      <c r="AE32" s="87">
        <f t="shared" si="6"/>
        <v>5.7142857142857141E-2</v>
      </c>
    </row>
    <row r="33" spans="1:31" ht="13.8" x14ac:dyDescent="0.3">
      <c r="A33" s="83" t="s">
        <v>25</v>
      </c>
      <c r="B33" s="80" t="s">
        <v>16</v>
      </c>
      <c r="C33" s="80">
        <v>15</v>
      </c>
      <c r="D33" s="80" t="s">
        <v>328</v>
      </c>
      <c r="E33" s="101">
        <f t="shared" si="5"/>
        <v>0.614337822671156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1" t="s">
        <v>512</v>
      </c>
      <c r="X33" s="82" t="s">
        <v>28</v>
      </c>
      <c r="Y33" s="82">
        <v>14</v>
      </c>
      <c r="Z33" s="82" t="s">
        <v>511</v>
      </c>
      <c r="AA33" s="102">
        <v>0.9619710194413027</v>
      </c>
      <c r="AC33" s="72" t="s">
        <v>28</v>
      </c>
      <c r="AD33" s="86">
        <f>COUNTIF(Y$70:Y$74,"=14")</f>
        <v>0</v>
      </c>
      <c r="AE33" s="87">
        <f t="shared" si="6"/>
        <v>0</v>
      </c>
    </row>
    <row r="34" spans="1:31" ht="13.8" x14ac:dyDescent="0.3">
      <c r="A34" s="83" t="s">
        <v>26</v>
      </c>
      <c r="B34" s="80" t="s">
        <v>16</v>
      </c>
      <c r="C34" s="80">
        <v>15</v>
      </c>
      <c r="D34" s="80" t="s">
        <v>335</v>
      </c>
      <c r="E34" s="101">
        <f t="shared" si="5"/>
        <v>0.84932154135723226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1" t="s">
        <v>20</v>
      </c>
      <c r="X34" s="82" t="s">
        <v>28</v>
      </c>
      <c r="Y34" s="82">
        <v>14</v>
      </c>
      <c r="Z34" s="82" t="s">
        <v>302</v>
      </c>
      <c r="AA34" s="102">
        <v>0.96099371344273887</v>
      </c>
      <c r="AC34" s="72" t="s">
        <v>49</v>
      </c>
      <c r="AD34" s="86">
        <f>COUNTIF(Y$70:Y$74,"=13")</f>
        <v>2</v>
      </c>
      <c r="AE34" s="87">
        <f t="shared" si="6"/>
        <v>5.7142857142857141E-2</v>
      </c>
    </row>
    <row r="35" spans="1:31" ht="14.4" thickBot="1" x14ac:dyDescent="0.35">
      <c r="A35" s="81" t="s">
        <v>258</v>
      </c>
      <c r="B35" s="82" t="s">
        <v>28</v>
      </c>
      <c r="C35" s="82">
        <v>14</v>
      </c>
      <c r="D35" s="82" t="s">
        <v>274</v>
      </c>
      <c r="E35" s="102">
        <f t="shared" si="5"/>
        <v>0.97067096880946468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1" t="s">
        <v>257</v>
      </c>
      <c r="X35" s="82" t="s">
        <v>10</v>
      </c>
      <c r="Y35" s="82">
        <v>16</v>
      </c>
      <c r="Z35" s="82" t="s">
        <v>337</v>
      </c>
      <c r="AA35" s="102">
        <v>0.94699999999999995</v>
      </c>
      <c r="AC35" s="93" t="s">
        <v>79</v>
      </c>
      <c r="AD35" s="94">
        <f>COUNTIF(Y$70:Y$74,"&lt;13")</f>
        <v>1</v>
      </c>
      <c r="AE35" s="95">
        <f t="shared" si="6"/>
        <v>2.8571428571428571E-2</v>
      </c>
    </row>
    <row r="36" spans="1:31" ht="13.8" x14ac:dyDescent="0.3">
      <c r="A36" s="81" t="s">
        <v>29</v>
      </c>
      <c r="B36" s="82" t="s">
        <v>28</v>
      </c>
      <c r="C36" s="82">
        <v>14</v>
      </c>
      <c r="D36" s="82" t="s">
        <v>285</v>
      </c>
      <c r="E36" s="102">
        <f t="shared" si="5"/>
        <v>0.72270267536539723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79" t="s">
        <v>55</v>
      </c>
      <c r="X36" s="80" t="s">
        <v>49</v>
      </c>
      <c r="Y36" s="80">
        <v>13</v>
      </c>
      <c r="Z36" s="80" t="s">
        <v>277</v>
      </c>
      <c r="AA36" s="101">
        <v>0.9427287640364086</v>
      </c>
      <c r="AC36" s="88" t="s">
        <v>80</v>
      </c>
      <c r="AD36" s="89">
        <f>SUM(AD30:AD35)</f>
        <v>5</v>
      </c>
      <c r="AE36" s="90">
        <f t="shared" si="6"/>
        <v>0.14285714285714285</v>
      </c>
    </row>
    <row r="37" spans="1:31" ht="13.8" x14ac:dyDescent="0.3">
      <c r="A37" s="81" t="s">
        <v>30</v>
      </c>
      <c r="B37" s="82" t="s">
        <v>28</v>
      </c>
      <c r="C37" s="82">
        <v>14</v>
      </c>
      <c r="D37" s="82" t="s">
        <v>284</v>
      </c>
      <c r="E37" s="102">
        <f t="shared" si="5"/>
        <v>0.91044690077830015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79" t="s">
        <v>7</v>
      </c>
      <c r="X37" s="80" t="s">
        <v>2</v>
      </c>
      <c r="Y37" s="80">
        <v>17</v>
      </c>
      <c r="Z37" s="80" t="s">
        <v>327</v>
      </c>
      <c r="AA37" s="101">
        <v>0.93000422702993502</v>
      </c>
    </row>
    <row r="38" spans="1:31" ht="13.8" x14ac:dyDescent="0.3">
      <c r="A38" s="81" t="s">
        <v>34</v>
      </c>
      <c r="B38" s="82" t="s">
        <v>28</v>
      </c>
      <c r="C38" s="82">
        <v>14</v>
      </c>
      <c r="D38" s="82" t="s">
        <v>293</v>
      </c>
      <c r="E38" s="102">
        <f t="shared" si="5"/>
        <v>1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15</v>
      </c>
      <c r="X38" s="80" t="s">
        <v>16</v>
      </c>
      <c r="Y38" s="80">
        <v>15</v>
      </c>
      <c r="Z38" s="80" t="s">
        <v>276</v>
      </c>
      <c r="AA38" s="101">
        <v>0.91262379340604238</v>
      </c>
    </row>
    <row r="39" spans="1:31" ht="13.8" x14ac:dyDescent="0.3">
      <c r="A39" s="81" t="s">
        <v>36</v>
      </c>
      <c r="B39" s="82" t="s">
        <v>28</v>
      </c>
      <c r="C39" s="82">
        <v>14</v>
      </c>
      <c r="D39" s="82" t="s">
        <v>296</v>
      </c>
      <c r="E39" s="102">
        <f t="shared" si="5"/>
        <v>0.79472908539599674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1" t="s">
        <v>30</v>
      </c>
      <c r="X39" s="82" t="s">
        <v>28</v>
      </c>
      <c r="Y39" s="82">
        <v>14</v>
      </c>
      <c r="Z39" s="82" t="s">
        <v>284</v>
      </c>
      <c r="AA39" s="102">
        <v>0.91044690077830015</v>
      </c>
    </row>
    <row r="40" spans="1:31" ht="13.8" x14ac:dyDescent="0.3">
      <c r="A40" s="81" t="s">
        <v>11</v>
      </c>
      <c r="B40" s="82" t="s">
        <v>28</v>
      </c>
      <c r="C40" s="82">
        <v>14</v>
      </c>
      <c r="D40" s="82" t="s">
        <v>297</v>
      </c>
      <c r="E40" s="102">
        <f t="shared" si="5"/>
        <v>0.60422936152907691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1" t="s">
        <v>62</v>
      </c>
      <c r="X40" s="82" t="s">
        <v>28</v>
      </c>
      <c r="Y40" s="82">
        <v>14</v>
      </c>
      <c r="Z40" s="82" t="s">
        <v>329</v>
      </c>
      <c r="AA40" s="102">
        <v>0.90975829351063098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5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79" t="s">
        <v>60</v>
      </c>
      <c r="X41" s="80" t="s">
        <v>49</v>
      </c>
      <c r="Y41" s="80">
        <v>13</v>
      </c>
      <c r="Z41" s="80" t="s">
        <v>283</v>
      </c>
      <c r="AA41" s="101">
        <v>0.90135028841111697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1" t="s">
        <v>3</v>
      </c>
      <c r="X42" s="82" t="s">
        <v>10</v>
      </c>
      <c r="Y42" s="82">
        <v>16</v>
      </c>
      <c r="Z42" s="82" t="s">
        <v>291</v>
      </c>
      <c r="AA42" s="102">
        <v>0.89410444897115693</v>
      </c>
    </row>
    <row r="43" spans="1:31" ht="13.8" x14ac:dyDescent="0.3">
      <c r="A43" s="81" t="s">
        <v>20</v>
      </c>
      <c r="B43" s="82" t="s">
        <v>28</v>
      </c>
      <c r="C43" s="82">
        <v>14</v>
      </c>
      <c r="D43" s="82" t="s">
        <v>302</v>
      </c>
      <c r="E43" s="102">
        <f t="shared" ref="E43:E56" si="7">VLOOKUP($D43,$Q$7:$R$69,2,0)</f>
        <v>0.96099371344273887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1" t="s">
        <v>42</v>
      </c>
      <c r="X43" s="82" t="s">
        <v>65</v>
      </c>
      <c r="Y43" s="82">
        <v>10</v>
      </c>
      <c r="Z43" s="82" t="s">
        <v>320</v>
      </c>
      <c r="AA43" s="102">
        <v>0.89259170051200387</v>
      </c>
    </row>
    <row r="44" spans="1:31" ht="13.8" x14ac:dyDescent="0.3">
      <c r="A44" s="81" t="s">
        <v>512</v>
      </c>
      <c r="B44" s="82" t="s">
        <v>28</v>
      </c>
      <c r="C44" s="82">
        <v>14</v>
      </c>
      <c r="D44" s="82" t="s">
        <v>511</v>
      </c>
      <c r="E44" s="102">
        <f t="shared" si="7"/>
        <v>0.9619710194413027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79" t="s">
        <v>263</v>
      </c>
      <c r="X44" s="80" t="s">
        <v>2</v>
      </c>
      <c r="Y44" s="80">
        <v>17</v>
      </c>
      <c r="Z44" s="80" t="s">
        <v>282</v>
      </c>
      <c r="AA44" s="101">
        <v>0.87497195036407094</v>
      </c>
    </row>
    <row r="45" spans="1:31" ht="13.8" x14ac:dyDescent="0.3">
      <c r="A45" s="81" t="s">
        <v>66</v>
      </c>
      <c r="B45" s="82" t="s">
        <v>28</v>
      </c>
      <c r="C45" s="82">
        <v>14</v>
      </c>
      <c r="D45" s="82" t="s">
        <v>314</v>
      </c>
      <c r="E45" s="102">
        <f t="shared" si="7"/>
        <v>0.99458022018280356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256</v>
      </c>
      <c r="X45" s="80" t="s">
        <v>16</v>
      </c>
      <c r="Y45" s="80">
        <v>15</v>
      </c>
      <c r="Z45" s="80" t="s">
        <v>319</v>
      </c>
      <c r="AA45" s="101">
        <v>0.85164553720066594</v>
      </c>
    </row>
    <row r="46" spans="1:31" ht="13.8" x14ac:dyDescent="0.3">
      <c r="A46" s="81" t="s">
        <v>24</v>
      </c>
      <c r="B46" s="82" t="s">
        <v>28</v>
      </c>
      <c r="C46" s="82">
        <v>14</v>
      </c>
      <c r="D46" s="82" t="s">
        <v>323</v>
      </c>
      <c r="E46" s="102">
        <f t="shared" si="7"/>
        <v>1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26</v>
      </c>
      <c r="X46" s="80" t="s">
        <v>16</v>
      </c>
      <c r="Y46" s="80">
        <v>15</v>
      </c>
      <c r="Z46" s="80" t="s">
        <v>335</v>
      </c>
      <c r="AA46" s="101">
        <v>0.84932154135723226</v>
      </c>
    </row>
    <row r="47" spans="1:31" ht="13.8" x14ac:dyDescent="0.3">
      <c r="A47" s="81" t="s">
        <v>45</v>
      </c>
      <c r="B47" s="82" t="s">
        <v>28</v>
      </c>
      <c r="C47" s="82">
        <v>14</v>
      </c>
      <c r="D47" s="82" t="s">
        <v>318</v>
      </c>
      <c r="E47" s="102">
        <f t="shared" si="7"/>
        <v>0.57546119039331711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17</v>
      </c>
      <c r="X47" s="80" t="s">
        <v>16</v>
      </c>
      <c r="Y47" s="80">
        <v>15</v>
      </c>
      <c r="Z47" s="80" t="s">
        <v>306</v>
      </c>
      <c r="AA47" s="101">
        <v>0.84890438247011957</v>
      </c>
    </row>
    <row r="48" spans="1:31" ht="13.8" x14ac:dyDescent="0.3">
      <c r="A48" s="81" t="s">
        <v>62</v>
      </c>
      <c r="B48" s="82" t="s">
        <v>28</v>
      </c>
      <c r="C48" s="82">
        <v>14</v>
      </c>
      <c r="D48" s="82" t="s">
        <v>329</v>
      </c>
      <c r="E48" s="102">
        <f t="shared" si="7"/>
        <v>0.90975829351063098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79" t="s">
        <v>9</v>
      </c>
      <c r="X48" s="80" t="s">
        <v>49</v>
      </c>
      <c r="Y48" s="80">
        <v>13</v>
      </c>
      <c r="Z48" s="80" t="s">
        <v>273</v>
      </c>
      <c r="AA48" s="101">
        <v>0.82576712904581762</v>
      </c>
    </row>
    <row r="49" spans="1:27" ht="13.8" x14ac:dyDescent="0.3">
      <c r="A49" s="81" t="s">
        <v>75</v>
      </c>
      <c r="B49" s="82" t="s">
        <v>28</v>
      </c>
      <c r="C49" s="82">
        <v>14</v>
      </c>
      <c r="D49" s="82" t="s">
        <v>331</v>
      </c>
      <c r="E49" s="102">
        <f t="shared" si="7"/>
        <v>0.9915841495030967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31</v>
      </c>
      <c r="X49" s="80" t="s">
        <v>16</v>
      </c>
      <c r="Y49" s="80">
        <v>15</v>
      </c>
      <c r="Z49" s="110" t="s">
        <v>288</v>
      </c>
      <c r="AA49" s="111">
        <v>0.81467245298615421</v>
      </c>
    </row>
    <row r="50" spans="1:27" ht="13.8" x14ac:dyDescent="0.3">
      <c r="A50" s="81" t="s">
        <v>59</v>
      </c>
      <c r="B50" s="82" t="s">
        <v>28</v>
      </c>
      <c r="C50" s="82">
        <v>14</v>
      </c>
      <c r="D50" s="82" t="s">
        <v>336</v>
      </c>
      <c r="E50" s="102">
        <f t="shared" si="7"/>
        <v>1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1" t="s">
        <v>36</v>
      </c>
      <c r="X50" s="82" t="s">
        <v>28</v>
      </c>
      <c r="Y50" s="82">
        <v>14</v>
      </c>
      <c r="Z50" s="82" t="s">
        <v>296</v>
      </c>
      <c r="AA50" s="102">
        <v>0.79472908539599674</v>
      </c>
    </row>
    <row r="51" spans="1:27" ht="13.8" x14ac:dyDescent="0.3">
      <c r="A51" s="79" t="s">
        <v>67</v>
      </c>
      <c r="B51" s="80" t="s">
        <v>49</v>
      </c>
      <c r="C51" s="80">
        <v>13</v>
      </c>
      <c r="D51" s="80" t="s">
        <v>278</v>
      </c>
      <c r="E51" s="101">
        <f t="shared" si="7"/>
        <v>0.62875460562079877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79" t="s">
        <v>57</v>
      </c>
      <c r="X51" s="80" t="s">
        <v>49</v>
      </c>
      <c r="Y51" s="80">
        <v>13</v>
      </c>
      <c r="Z51" s="80" t="s">
        <v>295</v>
      </c>
      <c r="AA51" s="101">
        <v>0.78356336260978665</v>
      </c>
    </row>
    <row r="52" spans="1:27" ht="13.8" x14ac:dyDescent="0.3">
      <c r="A52" s="79" t="s">
        <v>9</v>
      </c>
      <c r="B52" s="80" t="s">
        <v>49</v>
      </c>
      <c r="C52" s="80">
        <v>13</v>
      </c>
      <c r="D52" s="80" t="s">
        <v>273</v>
      </c>
      <c r="E52" s="101">
        <f t="shared" si="7"/>
        <v>0.82576712904581762</v>
      </c>
      <c r="F52" s="69"/>
      <c r="Q52" s="141" t="s">
        <v>320</v>
      </c>
      <c r="R52" s="142">
        <v>0.89259170051200387</v>
      </c>
      <c r="S52" s="141" t="s">
        <v>370</v>
      </c>
      <c r="W52" s="79" t="s">
        <v>262</v>
      </c>
      <c r="X52" s="80" t="s">
        <v>108</v>
      </c>
      <c r="Y52" s="80">
        <v>19</v>
      </c>
      <c r="Z52" s="80" t="s">
        <v>309</v>
      </c>
      <c r="AA52" s="101">
        <v>0.77794419936265724</v>
      </c>
    </row>
    <row r="53" spans="1:27" ht="13.8" x14ac:dyDescent="0.3">
      <c r="A53" s="79" t="s">
        <v>55</v>
      </c>
      <c r="B53" s="80" t="s">
        <v>49</v>
      </c>
      <c r="C53" s="80">
        <v>13</v>
      </c>
      <c r="D53" s="80" t="s">
        <v>277</v>
      </c>
      <c r="E53" s="101">
        <f t="shared" si="7"/>
        <v>0.9427287640364086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13</v>
      </c>
      <c r="X53" s="80" t="s">
        <v>16</v>
      </c>
      <c r="Y53" s="80">
        <v>15</v>
      </c>
      <c r="Z53" s="80" t="s">
        <v>326</v>
      </c>
      <c r="AA53" s="101">
        <v>0.77327600463039525</v>
      </c>
    </row>
    <row r="54" spans="1:27" ht="13.8" x14ac:dyDescent="0.3">
      <c r="A54" s="79" t="s">
        <v>48</v>
      </c>
      <c r="B54" s="80" t="s">
        <v>49</v>
      </c>
      <c r="C54" s="80">
        <v>13</v>
      </c>
      <c r="D54" s="80" t="s">
        <v>279</v>
      </c>
      <c r="E54" s="101">
        <f t="shared" si="7"/>
        <v>0.70643925978729205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21</v>
      </c>
      <c r="X54" s="80" t="s">
        <v>16</v>
      </c>
      <c r="Y54" s="80">
        <v>15</v>
      </c>
      <c r="Z54" s="80" t="s">
        <v>315</v>
      </c>
      <c r="AA54" s="101">
        <v>0.75386351438754873</v>
      </c>
    </row>
    <row r="55" spans="1:27" ht="13.8" x14ac:dyDescent="0.3">
      <c r="A55" s="79" t="s">
        <v>60</v>
      </c>
      <c r="B55" s="80" t="s">
        <v>49</v>
      </c>
      <c r="C55" s="80">
        <v>13</v>
      </c>
      <c r="D55" s="80" t="s">
        <v>283</v>
      </c>
      <c r="E55" s="101">
        <f t="shared" si="7"/>
        <v>0.90135028841111697</v>
      </c>
      <c r="F55" s="65"/>
      <c r="Q55" s="141" t="s">
        <v>323</v>
      </c>
      <c r="R55" s="142">
        <v>1</v>
      </c>
      <c r="S55" s="141" t="s">
        <v>370</v>
      </c>
      <c r="W55" s="81" t="s">
        <v>32</v>
      </c>
      <c r="X55" s="82" t="s">
        <v>10</v>
      </c>
      <c r="Y55" s="82">
        <v>16</v>
      </c>
      <c r="Z55" s="82" t="s">
        <v>289</v>
      </c>
      <c r="AA55" s="102">
        <v>0.7497019635343618</v>
      </c>
    </row>
    <row r="56" spans="1:27" ht="13.8" x14ac:dyDescent="0.3">
      <c r="A56" s="83" t="s">
        <v>259</v>
      </c>
      <c r="B56" s="110" t="s">
        <v>49</v>
      </c>
      <c r="C56" s="110">
        <v>13</v>
      </c>
      <c r="D56" s="110" t="s">
        <v>281</v>
      </c>
      <c r="E56" s="111">
        <f t="shared" si="7"/>
        <v>0.27216238256230779</v>
      </c>
      <c r="F56" s="65"/>
      <c r="Q56" s="141" t="s">
        <v>324</v>
      </c>
      <c r="R56" s="142">
        <v>0.42404692082111439</v>
      </c>
      <c r="S56" s="143" t="s">
        <v>86</v>
      </c>
      <c r="W56" s="83" t="s">
        <v>52</v>
      </c>
      <c r="X56" s="80" t="s">
        <v>16</v>
      </c>
      <c r="Y56" s="80">
        <v>15</v>
      </c>
      <c r="Z56" s="80" t="s">
        <v>280</v>
      </c>
      <c r="AA56" s="101">
        <v>0.7469877361024081</v>
      </c>
    </row>
    <row r="57" spans="1:27" ht="13.8" x14ac:dyDescent="0.3">
      <c r="A57" s="79" t="s">
        <v>261</v>
      </c>
      <c r="B57" s="80" t="s">
        <v>49</v>
      </c>
      <c r="C57" s="80">
        <v>13</v>
      </c>
      <c r="D57" s="80" t="s">
        <v>185</v>
      </c>
      <c r="E57" s="101" t="s">
        <v>372</v>
      </c>
      <c r="F57" s="69"/>
      <c r="Q57" s="141" t="s">
        <v>325</v>
      </c>
      <c r="R57" s="142">
        <v>0.99417211067658851</v>
      </c>
      <c r="S57" s="141" t="s">
        <v>370</v>
      </c>
      <c r="W57" s="81" t="s">
        <v>29</v>
      </c>
      <c r="X57" s="82" t="s">
        <v>28</v>
      </c>
      <c r="Y57" s="82">
        <v>14</v>
      </c>
      <c r="Z57" s="82" t="s">
        <v>285</v>
      </c>
      <c r="AA57" s="102">
        <v>0.72270267536539723</v>
      </c>
    </row>
    <row r="58" spans="1:27" ht="13.8" x14ac:dyDescent="0.3">
      <c r="A58" s="79" t="s">
        <v>57</v>
      </c>
      <c r="B58" s="80" t="s">
        <v>49</v>
      </c>
      <c r="C58" s="80">
        <v>13</v>
      </c>
      <c r="D58" s="80" t="s">
        <v>295</v>
      </c>
      <c r="E58" s="101">
        <f t="shared" ref="E58:E74" si="8">VLOOKUP($D58,$Q$7:$R$69,2,0)</f>
        <v>0.78356336260978665</v>
      </c>
      <c r="F58" s="65"/>
      <c r="Q58" s="141" t="s">
        <v>326</v>
      </c>
      <c r="R58" s="142">
        <v>0.77327600463039525</v>
      </c>
      <c r="S58" s="143" t="s">
        <v>371</v>
      </c>
      <c r="W58" s="79" t="s">
        <v>48</v>
      </c>
      <c r="X58" s="80" t="s">
        <v>49</v>
      </c>
      <c r="Y58" s="80">
        <v>13</v>
      </c>
      <c r="Z58" s="80" t="s">
        <v>279</v>
      </c>
      <c r="AA58" s="101">
        <v>0.70643925978729205</v>
      </c>
    </row>
    <row r="59" spans="1:27" ht="13.8" x14ac:dyDescent="0.3">
      <c r="A59" s="79" t="s">
        <v>35</v>
      </c>
      <c r="B59" s="80" t="s">
        <v>49</v>
      </c>
      <c r="C59" s="80">
        <v>13</v>
      </c>
      <c r="D59" s="80" t="s">
        <v>292</v>
      </c>
      <c r="E59" s="101">
        <f t="shared" si="8"/>
        <v>1.0293089747728885</v>
      </c>
      <c r="F59" s="65"/>
      <c r="Q59" s="141" t="s">
        <v>327</v>
      </c>
      <c r="R59" s="142">
        <v>0.93000422702993502</v>
      </c>
      <c r="S59" s="141" t="s">
        <v>370</v>
      </c>
      <c r="W59" s="79" t="s">
        <v>51</v>
      </c>
      <c r="X59" s="80" t="s">
        <v>49</v>
      </c>
      <c r="Y59" s="80">
        <v>13</v>
      </c>
      <c r="Z59" s="80" t="s">
        <v>298</v>
      </c>
      <c r="AA59" s="101">
        <v>0.66983442164179108</v>
      </c>
    </row>
    <row r="60" spans="1:27" ht="13.8" x14ac:dyDescent="0.3">
      <c r="A60" s="79" t="s">
        <v>51</v>
      </c>
      <c r="B60" s="80" t="s">
        <v>49</v>
      </c>
      <c r="C60" s="80">
        <v>13</v>
      </c>
      <c r="D60" s="80" t="s">
        <v>298</v>
      </c>
      <c r="E60" s="101">
        <f t="shared" si="8"/>
        <v>0.66983442164179108</v>
      </c>
      <c r="F60" s="65"/>
      <c r="Q60" s="141" t="s">
        <v>328</v>
      </c>
      <c r="R60" s="142">
        <v>0.614337822671156</v>
      </c>
      <c r="S60" s="143" t="s">
        <v>371</v>
      </c>
      <c r="W60" s="83" t="s">
        <v>253</v>
      </c>
      <c r="X60" s="80" t="s">
        <v>16</v>
      </c>
      <c r="Y60" s="80">
        <v>15</v>
      </c>
      <c r="Z60" s="80" t="s">
        <v>330</v>
      </c>
      <c r="AA60" s="101">
        <v>0.66731657086909912</v>
      </c>
    </row>
    <row r="61" spans="1:27" ht="13.8" x14ac:dyDescent="0.3">
      <c r="A61" s="83" t="s">
        <v>39</v>
      </c>
      <c r="B61" s="80" t="s">
        <v>49</v>
      </c>
      <c r="C61" s="80">
        <v>13</v>
      </c>
      <c r="D61" s="110" t="s">
        <v>301</v>
      </c>
      <c r="E61" s="111">
        <f>VLOOKUP($D61,$Q$7:$R$69,2,0)</f>
        <v>0.44575810739314115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23</v>
      </c>
      <c r="X61" s="110" t="s">
        <v>16</v>
      </c>
      <c r="Y61" s="110">
        <v>15</v>
      </c>
      <c r="Z61" s="110" t="s">
        <v>322</v>
      </c>
      <c r="AA61" s="111">
        <v>0.64890043729006908</v>
      </c>
    </row>
    <row r="62" spans="1:27" ht="13.8" x14ac:dyDescent="0.3">
      <c r="A62" s="79" t="s">
        <v>58</v>
      </c>
      <c r="B62" s="80" t="s">
        <v>49</v>
      </c>
      <c r="C62" s="80">
        <v>13</v>
      </c>
      <c r="D62" s="80" t="s">
        <v>275</v>
      </c>
      <c r="E62" s="101">
        <f t="shared" si="8"/>
        <v>1</v>
      </c>
      <c r="F62" s="65"/>
      <c r="Q62" s="141" t="s">
        <v>330</v>
      </c>
      <c r="R62" s="142">
        <v>0.66731657086909912</v>
      </c>
      <c r="S62" s="143" t="s">
        <v>371</v>
      </c>
      <c r="W62" s="79" t="s">
        <v>22</v>
      </c>
      <c r="X62" s="80" t="s">
        <v>49</v>
      </c>
      <c r="Y62" s="80">
        <v>13</v>
      </c>
      <c r="Z62" s="80" t="s">
        <v>316</v>
      </c>
      <c r="AA62" s="101">
        <v>0.63819230650865855</v>
      </c>
    </row>
    <row r="63" spans="1:27" ht="13.8" x14ac:dyDescent="0.3">
      <c r="A63" s="79" t="s">
        <v>40</v>
      </c>
      <c r="B63" s="80" t="s">
        <v>49</v>
      </c>
      <c r="C63" s="80">
        <v>13</v>
      </c>
      <c r="D63" s="80" t="s">
        <v>310</v>
      </c>
      <c r="E63" s="101">
        <f t="shared" si="8"/>
        <v>0.58034319753835939</v>
      </c>
      <c r="F63" s="65"/>
      <c r="Q63" s="141" t="s">
        <v>331</v>
      </c>
      <c r="R63" s="142">
        <v>0.9915841495030967</v>
      </c>
      <c r="S63" s="141" t="s">
        <v>370</v>
      </c>
      <c r="W63" s="79" t="s">
        <v>67</v>
      </c>
      <c r="X63" s="80" t="s">
        <v>49</v>
      </c>
      <c r="Y63" s="80">
        <v>13</v>
      </c>
      <c r="Z63" s="80" t="s">
        <v>278</v>
      </c>
      <c r="AA63" s="101">
        <v>0.62875460562079877</v>
      </c>
    </row>
    <row r="64" spans="1:27" ht="13.8" x14ac:dyDescent="0.3">
      <c r="A64" s="79" t="s">
        <v>22</v>
      </c>
      <c r="B64" s="80" t="s">
        <v>49</v>
      </c>
      <c r="C64" s="80">
        <v>13</v>
      </c>
      <c r="D64" s="80" t="s">
        <v>316</v>
      </c>
      <c r="E64" s="101">
        <f t="shared" si="8"/>
        <v>0.63819230650865855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25</v>
      </c>
      <c r="X64" s="80" t="s">
        <v>16</v>
      </c>
      <c r="Y64" s="80">
        <v>15</v>
      </c>
      <c r="Z64" s="80" t="s">
        <v>328</v>
      </c>
      <c r="AA64" s="101">
        <v>0.614337822671156</v>
      </c>
    </row>
    <row r="65" spans="1:27" ht="13.8" x14ac:dyDescent="0.3">
      <c r="A65" s="79" t="s">
        <v>41</v>
      </c>
      <c r="B65" s="80" t="s">
        <v>49</v>
      </c>
      <c r="C65" s="80">
        <v>13</v>
      </c>
      <c r="D65" s="80" t="s">
        <v>321</v>
      </c>
      <c r="E65" s="101">
        <f t="shared" si="8"/>
        <v>0.97501693766937669</v>
      </c>
      <c r="F65" s="65"/>
      <c r="Q65" s="141" t="s">
        <v>333</v>
      </c>
      <c r="R65" s="142">
        <v>0.98634859349145065</v>
      </c>
      <c r="S65" s="141" t="s">
        <v>370</v>
      </c>
      <c r="W65" s="81" t="s">
        <v>11</v>
      </c>
      <c r="X65" s="82" t="s">
        <v>28</v>
      </c>
      <c r="Y65" s="82">
        <v>14</v>
      </c>
      <c r="Z65" s="82" t="s">
        <v>297</v>
      </c>
      <c r="AA65" s="102">
        <v>0.60422936152907691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8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1" t="s">
        <v>18</v>
      </c>
      <c r="X66" s="82" t="s">
        <v>10</v>
      </c>
      <c r="Y66" s="82">
        <v>16</v>
      </c>
      <c r="Z66" s="82" t="s">
        <v>86</v>
      </c>
      <c r="AA66" s="102">
        <v>0.58142655748172922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8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79" t="s">
        <v>40</v>
      </c>
      <c r="X67" s="80" t="s">
        <v>49</v>
      </c>
      <c r="Y67" s="80">
        <v>13</v>
      </c>
      <c r="Z67" s="80" t="s">
        <v>310</v>
      </c>
      <c r="AA67" s="101">
        <v>0.58034319753835939</v>
      </c>
    </row>
    <row r="68" spans="1:27" ht="13.8" x14ac:dyDescent="0.3">
      <c r="A68" s="81" t="s">
        <v>42</v>
      </c>
      <c r="B68" s="82" t="s">
        <v>65</v>
      </c>
      <c r="C68" s="82">
        <v>10</v>
      </c>
      <c r="D68" s="82" t="s">
        <v>320</v>
      </c>
      <c r="E68" s="102">
        <f t="shared" si="8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1" t="s">
        <v>45</v>
      </c>
      <c r="X68" s="82" t="s">
        <v>28</v>
      </c>
      <c r="Y68" s="82">
        <v>14</v>
      </c>
      <c r="Z68" s="82" t="s">
        <v>318</v>
      </c>
      <c r="AA68" s="102">
        <v>0.57546119039331711</v>
      </c>
    </row>
    <row r="69" spans="1:27" ht="14.4" thickBot="1" x14ac:dyDescent="0.35">
      <c r="A69" s="147" t="s">
        <v>248</v>
      </c>
      <c r="B69" s="148" t="s">
        <v>123</v>
      </c>
      <c r="C69" s="148">
        <v>6</v>
      </c>
      <c r="D69" s="148" t="s">
        <v>294</v>
      </c>
      <c r="E69" s="149">
        <f t="shared" si="8"/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154" t="s">
        <v>369</v>
      </c>
      <c r="X69" s="156" t="s">
        <v>10</v>
      </c>
      <c r="Y69" s="156">
        <v>16</v>
      </c>
      <c r="Z69" s="156" t="s">
        <v>368</v>
      </c>
      <c r="AA69" s="159">
        <v>0.55330389203021169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 t="shared" si="8"/>
        <v>0.77794419936265724</v>
      </c>
      <c r="F70" s="69"/>
      <c r="G70" s="66"/>
      <c r="Q70" s="99"/>
      <c r="R70" s="98"/>
      <c r="S70" s="97"/>
      <c r="W70" s="83" t="s">
        <v>39</v>
      </c>
      <c r="X70" s="80" t="s">
        <v>49</v>
      </c>
      <c r="Y70" s="80">
        <v>13</v>
      </c>
      <c r="Z70" s="110" t="s">
        <v>301</v>
      </c>
      <c r="AA70" s="111">
        <v>0.44575810739314115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 t="shared" si="8"/>
        <v>0.87497195036407094</v>
      </c>
      <c r="F71" s="65"/>
      <c r="Q71" s="99"/>
      <c r="R71" s="98"/>
      <c r="S71" s="97"/>
      <c r="W71" s="83" t="s">
        <v>43</v>
      </c>
      <c r="X71" s="80" t="s">
        <v>16</v>
      </c>
      <c r="Y71" s="80">
        <v>15</v>
      </c>
      <c r="Z71" s="110" t="s">
        <v>324</v>
      </c>
      <c r="AA71" s="111">
        <v>0.42404692082111439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 t="shared" si="8"/>
        <v>0.97028603165787286</v>
      </c>
      <c r="F72" s="69"/>
      <c r="Q72" s="99"/>
      <c r="R72" s="98"/>
      <c r="S72" s="97"/>
      <c r="W72" s="83" t="s">
        <v>12</v>
      </c>
      <c r="X72" s="80" t="s">
        <v>16</v>
      </c>
      <c r="Y72" s="80">
        <v>15</v>
      </c>
      <c r="Z72" s="80" t="s">
        <v>308</v>
      </c>
      <c r="AA72" s="101">
        <v>0.36017814864816144</v>
      </c>
    </row>
    <row r="73" spans="1:27" ht="13.8" x14ac:dyDescent="0.3">
      <c r="A73" s="83" t="s">
        <v>50</v>
      </c>
      <c r="B73" s="84" t="s">
        <v>372</v>
      </c>
      <c r="C73" s="84"/>
      <c r="D73" s="110" t="s">
        <v>286</v>
      </c>
      <c r="E73" s="111">
        <f t="shared" si="8"/>
        <v>0.99675869094774683</v>
      </c>
      <c r="F73" s="12"/>
      <c r="Q73" s="99"/>
      <c r="R73" s="98"/>
      <c r="S73" s="97"/>
      <c r="W73" s="155" t="s">
        <v>248</v>
      </c>
      <c r="X73" s="157" t="s">
        <v>123</v>
      </c>
      <c r="Y73" s="157">
        <v>6</v>
      </c>
      <c r="Z73" s="157" t="s">
        <v>294</v>
      </c>
      <c r="AA73" s="160">
        <v>0.27230062686467099</v>
      </c>
    </row>
    <row r="74" spans="1:27" ht="14.4" thickBot="1" x14ac:dyDescent="0.35">
      <c r="A74" s="91" t="s">
        <v>76</v>
      </c>
      <c r="B74" s="92" t="s">
        <v>372</v>
      </c>
      <c r="C74" s="92"/>
      <c r="D74" s="92" t="s">
        <v>333</v>
      </c>
      <c r="E74" s="104">
        <f t="shared" si="8"/>
        <v>0.98634859349145065</v>
      </c>
      <c r="F74" s="9"/>
      <c r="Q74" s="99"/>
      <c r="R74" s="98"/>
      <c r="S74" s="97"/>
      <c r="W74" s="112" t="s">
        <v>259</v>
      </c>
      <c r="X74" s="158" t="s">
        <v>49</v>
      </c>
      <c r="Y74" s="158">
        <v>13</v>
      </c>
      <c r="Z74" s="158" t="s">
        <v>281</v>
      </c>
      <c r="AA74" s="161">
        <v>0.27216238256230779</v>
      </c>
    </row>
    <row r="75" spans="1:27" ht="13.8" x14ac:dyDescent="0.3">
      <c r="A75" s="76" t="s">
        <v>135</v>
      </c>
      <c r="B75" s="78" t="s">
        <v>28</v>
      </c>
      <c r="C75" s="77">
        <f>AVERAGE(C7:C69)</f>
        <v>14.174603174603174</v>
      </c>
      <c r="D75" s="77"/>
      <c r="E75" s="77"/>
      <c r="F75" s="9"/>
      <c r="Q75" s="99"/>
      <c r="R75" s="98"/>
      <c r="S75" s="97"/>
    </row>
    <row r="76" spans="1:27" ht="13.8" x14ac:dyDescent="0.3">
      <c r="A76" s="7"/>
      <c r="B76" s="5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85" t="s">
        <v>266</v>
      </c>
      <c r="F78" s="14"/>
    </row>
    <row r="79" spans="1:27" x14ac:dyDescent="0.25">
      <c r="A79" s="85" t="s">
        <v>365</v>
      </c>
      <c r="B79" s="133"/>
      <c r="C79" s="134"/>
      <c r="D79" s="134"/>
      <c r="E79" s="134"/>
      <c r="F79" s="14"/>
      <c r="G79" s="133"/>
      <c r="W79" s="133"/>
      <c r="X79" s="133"/>
      <c r="Y79" s="133"/>
      <c r="Z79" s="133"/>
      <c r="AA79" s="136"/>
    </row>
    <row r="80" spans="1:27" s="133" customFormat="1" x14ac:dyDescent="0.25">
      <c r="A80" s="132" t="s">
        <v>355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356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357</v>
      </c>
      <c r="B82" s="1"/>
      <c r="C82" s="4"/>
      <c r="D82" s="14"/>
      <c r="E82" s="1"/>
      <c r="F82" s="135"/>
      <c r="G82" s="1"/>
      <c r="W82" s="1"/>
      <c r="X82" s="1"/>
      <c r="Y82" s="1"/>
      <c r="Z82" s="1"/>
      <c r="AA82" s="1"/>
    </row>
    <row r="83" spans="1:27" x14ac:dyDescent="0.25">
      <c r="A83" s="85" t="s">
        <v>358</v>
      </c>
      <c r="D83" s="14"/>
      <c r="E83" s="1"/>
      <c r="AA83" s="1"/>
    </row>
    <row r="84" spans="1:27" x14ac:dyDescent="0.25">
      <c r="A84" s="85"/>
      <c r="D84" s="14"/>
      <c r="E84" s="1"/>
      <c r="AA84" s="1"/>
    </row>
    <row r="85" spans="1:27" x14ac:dyDescent="0.25">
      <c r="A85" s="85"/>
    </row>
    <row r="86" spans="1:27" x14ac:dyDescent="0.25">
      <c r="A86" s="33"/>
      <c r="E86" s="120"/>
      <c r="F86" s="14"/>
    </row>
    <row r="87" spans="1:27" x14ac:dyDescent="0.25">
      <c r="E87" s="120"/>
    </row>
    <row r="88" spans="1:27" x14ac:dyDescent="0.25">
      <c r="E88" s="121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22">
    <tabColor rgb="FF002060"/>
    <pageSetUpPr fitToPage="1"/>
  </sheetPr>
  <dimension ref="A1:AH89"/>
  <sheetViews>
    <sheetView zoomScale="85" zoomScaleNormal="85" workbookViewId="0"/>
  </sheetViews>
  <sheetFormatPr defaultColWidth="9.109375" defaultRowHeight="13.2" outlineLevelCol="1" x14ac:dyDescent="0.25"/>
  <cols>
    <col min="1" max="1" width="35.109375" style="1" customWidth="1"/>
    <col min="2" max="2" width="9.109375" style="1"/>
    <col min="3" max="3" width="9.109375" style="4"/>
    <col min="4" max="4" width="9.109375" style="4" hidden="1" customWidth="1" outlineLevel="1"/>
    <col min="5" max="5" width="12.5546875" style="4" hidden="1" customWidth="1" outlineLevel="1"/>
    <col min="6" max="6" width="9.109375" style="1" collapsed="1"/>
    <col min="7" max="7" width="11.5546875" style="1" customWidth="1"/>
    <col min="8" max="10" width="9.109375" style="1"/>
    <col min="11" max="11" width="11" style="1" bestFit="1" customWidth="1"/>
    <col min="12" max="12" width="4.88671875" style="1" bestFit="1" customWidth="1"/>
    <col min="13" max="16" width="9.109375" style="1"/>
    <col min="17" max="26" width="9.109375" style="1" hidden="1" customWidth="1" outlineLevel="1"/>
    <col min="27" max="27" width="12.5546875" style="107" hidden="1" customWidth="1" outlineLevel="1"/>
    <col min="28" max="33" width="9.109375" style="1" hidden="1" customWidth="1" outlineLevel="1"/>
    <col min="34" max="34" width="9.109375" style="1" collapsed="1"/>
    <col min="35" max="16384" width="9.109375" style="1"/>
  </cols>
  <sheetData>
    <row r="1" spans="1:33" ht="18" x14ac:dyDescent="0.35">
      <c r="A1" s="75" t="s">
        <v>361</v>
      </c>
    </row>
    <row r="2" spans="1:33" ht="18" x14ac:dyDescent="0.35">
      <c r="A2" s="75"/>
    </row>
    <row r="3" spans="1:33" ht="18" x14ac:dyDescent="0.35">
      <c r="A3" s="75"/>
    </row>
    <row r="4" spans="1:33" ht="18" x14ac:dyDescent="0.35">
      <c r="A4" s="75"/>
    </row>
    <row r="5" spans="1:33" ht="13.8" x14ac:dyDescent="0.3">
      <c r="E5" s="106" t="s">
        <v>338</v>
      </c>
      <c r="Y5" s="4"/>
      <c r="Z5" s="4"/>
      <c r="AA5" s="106" t="s">
        <v>338</v>
      </c>
      <c r="AF5" s="129" t="s">
        <v>353</v>
      </c>
      <c r="AG5" s="128"/>
    </row>
    <row r="6" spans="1:33" ht="13.8" x14ac:dyDescent="0.3">
      <c r="A6" s="73" t="s">
        <v>0</v>
      </c>
      <c r="B6" s="74" t="s">
        <v>362</v>
      </c>
      <c r="C6" s="20"/>
      <c r="D6" s="20"/>
      <c r="E6" s="105">
        <v>40178</v>
      </c>
      <c r="W6" s="73" t="s">
        <v>0</v>
      </c>
      <c r="X6" s="74" t="s">
        <v>362</v>
      </c>
      <c r="Y6" s="20"/>
      <c r="Z6" s="20"/>
      <c r="AA6" s="105">
        <v>40178</v>
      </c>
      <c r="AC6" s="108" t="s">
        <v>137</v>
      </c>
      <c r="AD6" s="109"/>
      <c r="AE6" s="109"/>
      <c r="AF6" s="77">
        <f>AVERAGE(Y$13:Y$47)</f>
        <v>14.2</v>
      </c>
      <c r="AG6" s="126"/>
    </row>
    <row r="7" spans="1:33" ht="14.4" thickBot="1" x14ac:dyDescent="0.35">
      <c r="A7" s="79" t="s">
        <v>6</v>
      </c>
      <c r="B7" s="80" t="s">
        <v>110</v>
      </c>
      <c r="C7" s="80">
        <v>18</v>
      </c>
      <c r="D7" s="80" t="s">
        <v>312</v>
      </c>
      <c r="E7" s="101">
        <f>VLOOKUP($D7,$Q$7:$R$69,2,0)</f>
        <v>0.99706741779950658</v>
      </c>
      <c r="F7" s="65"/>
      <c r="G7" s="96" t="s">
        <v>77</v>
      </c>
      <c r="H7" s="96" t="s">
        <v>81</v>
      </c>
      <c r="I7" s="96" t="s">
        <v>82</v>
      </c>
      <c r="N7" s="67"/>
      <c r="O7" s="66"/>
      <c r="Q7" s="141" t="s">
        <v>273</v>
      </c>
      <c r="R7" s="142">
        <v>0.82576712904581762</v>
      </c>
      <c r="S7" s="141" t="s">
        <v>370</v>
      </c>
      <c r="W7" s="83" t="s">
        <v>87</v>
      </c>
      <c r="X7" s="110" t="s">
        <v>10</v>
      </c>
      <c r="Y7" s="110">
        <v>16</v>
      </c>
      <c r="Z7" s="110" t="s">
        <v>303</v>
      </c>
      <c r="AA7" s="114" t="s">
        <v>372</v>
      </c>
      <c r="AC7" s="96" t="s">
        <v>77</v>
      </c>
      <c r="AD7" s="96" t="s">
        <v>81</v>
      </c>
      <c r="AE7" s="96" t="s">
        <v>82</v>
      </c>
      <c r="AG7" s="127"/>
    </row>
    <row r="8" spans="1:33" ht="13.8" x14ac:dyDescent="0.3">
      <c r="A8" s="79" t="s">
        <v>4</v>
      </c>
      <c r="B8" s="80" t="s">
        <v>2</v>
      </c>
      <c r="C8" s="80">
        <v>17</v>
      </c>
      <c r="D8" s="80" t="s">
        <v>368</v>
      </c>
      <c r="E8" s="101">
        <f>VLOOKUP($D8,$Q$7:$R$69,2,0)</f>
        <v>0.55330389203021169</v>
      </c>
      <c r="F8" s="65"/>
      <c r="G8" s="72" t="s">
        <v>138</v>
      </c>
      <c r="H8" s="86">
        <f>COUNTIF(C$7:C$75,"&gt;16")</f>
        <v>5</v>
      </c>
      <c r="I8" s="87">
        <f>H8/H$14</f>
        <v>7.575757575757576E-2</v>
      </c>
      <c r="K8" s="66"/>
      <c r="M8" s="66"/>
      <c r="N8" s="66"/>
      <c r="O8" s="67"/>
      <c r="Q8" s="141" t="s">
        <v>274</v>
      </c>
      <c r="R8" s="142">
        <v>0.97067096880946468</v>
      </c>
      <c r="S8" s="141" t="s">
        <v>370</v>
      </c>
      <c r="W8" s="83" t="s">
        <v>5</v>
      </c>
      <c r="X8" s="110" t="s">
        <v>10</v>
      </c>
      <c r="Y8" s="110">
        <v>16</v>
      </c>
      <c r="Z8" s="110" t="s">
        <v>311</v>
      </c>
      <c r="AA8" s="114" t="s">
        <v>372</v>
      </c>
      <c r="AC8" s="72" t="s">
        <v>138</v>
      </c>
      <c r="AD8" s="86">
        <f>COUNTIF(Y$13:Y$47,"&gt;16")</f>
        <v>3</v>
      </c>
      <c r="AE8" s="87">
        <f>AD8/AD$14</f>
        <v>8.5714285714285715E-2</v>
      </c>
      <c r="AG8" s="127"/>
    </row>
    <row r="9" spans="1:33" ht="13.8" x14ac:dyDescent="0.3">
      <c r="A9" s="79" t="s">
        <v>7</v>
      </c>
      <c r="B9" s="80" t="s">
        <v>2</v>
      </c>
      <c r="C9" s="80">
        <v>17</v>
      </c>
      <c r="D9" s="80" t="s">
        <v>327</v>
      </c>
      <c r="E9" s="101">
        <f t="shared" ref="E9:E68" si="0">VLOOKUP($D9,$Q$7:$R$75,2,0)</f>
        <v>0.93000422702993502</v>
      </c>
      <c r="F9" s="65"/>
      <c r="G9" s="72" t="s">
        <v>10</v>
      </c>
      <c r="H9" s="86">
        <f>COUNTIF(C$7:C$75,"=16")</f>
        <v>8</v>
      </c>
      <c r="I9" s="87">
        <f t="shared" ref="I9:I14" si="1">H9/H$14</f>
        <v>0.12121212121212122</v>
      </c>
      <c r="K9" s="66"/>
      <c r="M9" s="66"/>
      <c r="N9" s="66"/>
      <c r="O9" s="67"/>
      <c r="Q9" s="141" t="s">
        <v>275</v>
      </c>
      <c r="R9" s="142">
        <v>1</v>
      </c>
      <c r="S9" s="141" t="s">
        <v>370</v>
      </c>
      <c r="W9" s="83" t="s">
        <v>254</v>
      </c>
      <c r="X9" s="110" t="s">
        <v>16</v>
      </c>
      <c r="Y9" s="110">
        <v>15</v>
      </c>
      <c r="Z9" s="110" t="s">
        <v>304</v>
      </c>
      <c r="AA9" s="114" t="s">
        <v>372</v>
      </c>
      <c r="AC9" s="72" t="s">
        <v>10</v>
      </c>
      <c r="AD9" s="86">
        <f>COUNTIF(Y$13:Y$47,"=16")</f>
        <v>4</v>
      </c>
      <c r="AE9" s="87">
        <f t="shared" ref="AE9:AE14" si="2">AD9/AD$14</f>
        <v>0.11428571428571428</v>
      </c>
      <c r="AG9" s="127"/>
    </row>
    <row r="10" spans="1:33" ht="13.8" x14ac:dyDescent="0.3">
      <c r="A10" s="81" t="s">
        <v>3</v>
      </c>
      <c r="B10" s="82" t="s">
        <v>10</v>
      </c>
      <c r="C10" s="82">
        <v>16</v>
      </c>
      <c r="D10" s="82" t="s">
        <v>291</v>
      </c>
      <c r="E10" s="102">
        <f t="shared" si="0"/>
        <v>0.89410444897115693</v>
      </c>
      <c r="F10" s="65"/>
      <c r="G10" s="72" t="s">
        <v>16</v>
      </c>
      <c r="H10" s="86">
        <f>COUNTIF(C$7:C$75,"=15")</f>
        <v>15</v>
      </c>
      <c r="I10" s="87">
        <f t="shared" si="1"/>
        <v>0.22727272727272727</v>
      </c>
      <c r="K10" s="66"/>
      <c r="M10" s="66"/>
      <c r="N10" s="66"/>
      <c r="O10" s="67"/>
      <c r="Q10" s="141" t="s">
        <v>276</v>
      </c>
      <c r="R10" s="142">
        <v>0.91262379340604238</v>
      </c>
      <c r="S10" s="141" t="s">
        <v>370</v>
      </c>
      <c r="W10" s="83" t="s">
        <v>255</v>
      </c>
      <c r="X10" s="110" t="s">
        <v>16</v>
      </c>
      <c r="Y10" s="110">
        <v>15</v>
      </c>
      <c r="Z10" s="110" t="s">
        <v>305</v>
      </c>
      <c r="AA10" s="114" t="s">
        <v>372</v>
      </c>
      <c r="AC10" s="72" t="s">
        <v>16</v>
      </c>
      <c r="AD10" s="86">
        <f>COUNTIF(Y$13:Y$47,"=15")</f>
        <v>7</v>
      </c>
      <c r="AE10" s="87">
        <f t="shared" si="2"/>
        <v>0.2</v>
      </c>
      <c r="AG10" s="127"/>
    </row>
    <row r="11" spans="1:33" ht="13.8" x14ac:dyDescent="0.3">
      <c r="A11" s="81" t="s">
        <v>18</v>
      </c>
      <c r="B11" s="82" t="s">
        <v>10</v>
      </c>
      <c r="C11" s="82">
        <v>16</v>
      </c>
      <c r="D11" s="82" t="s">
        <v>86</v>
      </c>
      <c r="E11" s="102">
        <f t="shared" si="0"/>
        <v>0.58142655748172922</v>
      </c>
      <c r="F11" s="65"/>
      <c r="G11" s="72" t="s">
        <v>28</v>
      </c>
      <c r="H11" s="86">
        <f>COUNTIF(C$7:C$75,"=14")</f>
        <v>19</v>
      </c>
      <c r="I11" s="87">
        <f t="shared" si="1"/>
        <v>0.2878787878787879</v>
      </c>
      <c r="K11" s="67"/>
      <c r="L11" s="4"/>
      <c r="M11" s="67"/>
      <c r="N11" s="67"/>
      <c r="O11" s="67"/>
      <c r="Q11" s="141" t="s">
        <v>277</v>
      </c>
      <c r="R11" s="142">
        <v>0.9427287640364086</v>
      </c>
      <c r="S11" s="141" t="s">
        <v>370</v>
      </c>
      <c r="W11" s="83" t="s">
        <v>38</v>
      </c>
      <c r="X11" s="110" t="s">
        <v>28</v>
      </c>
      <c r="Y11" s="110">
        <v>14</v>
      </c>
      <c r="Z11" s="110" t="s">
        <v>299</v>
      </c>
      <c r="AA11" s="114" t="s">
        <v>372</v>
      </c>
      <c r="AC11" s="72" t="s">
        <v>28</v>
      </c>
      <c r="AD11" s="86">
        <f>COUNTIF(Y$13:Y$47,"=14")</f>
        <v>10</v>
      </c>
      <c r="AE11" s="87">
        <f t="shared" si="2"/>
        <v>0.2857142857142857</v>
      </c>
      <c r="AG11" s="127"/>
    </row>
    <row r="12" spans="1:33" ht="13.8" x14ac:dyDescent="0.3">
      <c r="A12" s="81" t="s">
        <v>64</v>
      </c>
      <c r="B12" s="82" t="s">
        <v>10</v>
      </c>
      <c r="C12" s="82">
        <v>16</v>
      </c>
      <c r="D12" s="82" t="s">
        <v>287</v>
      </c>
      <c r="E12" s="102">
        <f t="shared" si="0"/>
        <v>1</v>
      </c>
      <c r="F12" s="65"/>
      <c r="G12" s="72" t="s">
        <v>49</v>
      </c>
      <c r="H12" s="86">
        <f>COUNTIF(C$7:C$75,"=13")</f>
        <v>14</v>
      </c>
      <c r="I12" s="87">
        <f t="shared" si="1"/>
        <v>0.21212121212121213</v>
      </c>
      <c r="Q12" s="141" t="s">
        <v>278</v>
      </c>
      <c r="R12" s="142">
        <v>0.62875460562079877</v>
      </c>
      <c r="S12" s="143" t="s">
        <v>371</v>
      </c>
      <c r="W12" s="83" t="s">
        <v>261</v>
      </c>
      <c r="X12" s="110" t="s">
        <v>49</v>
      </c>
      <c r="Y12" s="110">
        <v>13</v>
      </c>
      <c r="Z12" s="110" t="s">
        <v>185</v>
      </c>
      <c r="AA12" s="114" t="s">
        <v>372</v>
      </c>
      <c r="AC12" s="72" t="s">
        <v>49</v>
      </c>
      <c r="AD12" s="86">
        <f>COUNTIF(Y$13:Y$47,"=13")</f>
        <v>7</v>
      </c>
      <c r="AE12" s="87">
        <f t="shared" si="2"/>
        <v>0.2</v>
      </c>
      <c r="AG12" s="127"/>
    </row>
    <row r="13" spans="1:33" ht="14.4" thickBot="1" x14ac:dyDescent="0.35">
      <c r="A13" s="81" t="s">
        <v>32</v>
      </c>
      <c r="B13" s="82" t="s">
        <v>10</v>
      </c>
      <c r="C13" s="82">
        <v>16</v>
      </c>
      <c r="D13" s="82" t="s">
        <v>289</v>
      </c>
      <c r="E13" s="102">
        <f t="shared" si="0"/>
        <v>0.7497019635343618</v>
      </c>
      <c r="F13" s="65"/>
      <c r="G13" s="93" t="s">
        <v>79</v>
      </c>
      <c r="H13" s="94">
        <f>COUNTIF(C$7:C$75,"&lt;13")</f>
        <v>5</v>
      </c>
      <c r="I13" s="95">
        <f t="shared" si="1"/>
        <v>7.575757575757576E-2</v>
      </c>
      <c r="Q13" s="141" t="s">
        <v>279</v>
      </c>
      <c r="R13" s="142">
        <v>0.70643925978729205</v>
      </c>
      <c r="S13" s="143" t="s">
        <v>371</v>
      </c>
      <c r="W13" s="83" t="s">
        <v>260</v>
      </c>
      <c r="X13" s="110" t="s">
        <v>28</v>
      </c>
      <c r="Y13" s="110">
        <v>14</v>
      </c>
      <c r="Z13" s="110" t="s">
        <v>300</v>
      </c>
      <c r="AA13" s="114">
        <v>1.0333026830763428</v>
      </c>
      <c r="AC13" s="93" t="s">
        <v>79</v>
      </c>
      <c r="AD13" s="94">
        <f>COUNTIF(Y$13:Y$47,"&lt;13")</f>
        <v>4</v>
      </c>
      <c r="AE13" s="95">
        <f t="shared" si="2"/>
        <v>0.11428571428571428</v>
      </c>
      <c r="AG13" s="127"/>
    </row>
    <row r="14" spans="1:33" ht="13.8" x14ac:dyDescent="0.3">
      <c r="A14" s="81" t="s">
        <v>19</v>
      </c>
      <c r="B14" s="82" t="s">
        <v>10</v>
      </c>
      <c r="C14" s="82">
        <v>16</v>
      </c>
      <c r="D14" s="82" t="s">
        <v>290</v>
      </c>
      <c r="E14" s="102">
        <f t="shared" si="0"/>
        <v>0.96341849943457658</v>
      </c>
      <c r="F14" s="65"/>
      <c r="G14" s="88" t="s">
        <v>80</v>
      </c>
      <c r="H14" s="89">
        <f>SUM(H8:H13)</f>
        <v>66</v>
      </c>
      <c r="I14" s="90">
        <f t="shared" si="1"/>
        <v>1</v>
      </c>
      <c r="Q14" s="141" t="s">
        <v>280</v>
      </c>
      <c r="R14" s="142">
        <v>0.7469877361024081</v>
      </c>
      <c r="S14" s="141" t="s">
        <v>371</v>
      </c>
      <c r="W14" s="83" t="s">
        <v>35</v>
      </c>
      <c r="X14" s="110" t="s">
        <v>49</v>
      </c>
      <c r="Y14" s="110">
        <v>13</v>
      </c>
      <c r="Z14" s="110" t="s">
        <v>292</v>
      </c>
      <c r="AA14" s="114">
        <v>1.0293089747728885</v>
      </c>
      <c r="AC14" s="88" t="s">
        <v>80</v>
      </c>
      <c r="AD14" s="89">
        <f>SUM(AD8:AD13)</f>
        <v>35</v>
      </c>
      <c r="AE14" s="90">
        <f t="shared" si="2"/>
        <v>1</v>
      </c>
      <c r="AG14" s="127"/>
    </row>
    <row r="15" spans="1:33" ht="13.8" x14ac:dyDescent="0.3">
      <c r="A15" s="81" t="s">
        <v>87</v>
      </c>
      <c r="B15" s="82" t="s">
        <v>10</v>
      </c>
      <c r="C15" s="82">
        <v>16</v>
      </c>
      <c r="D15" s="82" t="s">
        <v>303</v>
      </c>
      <c r="E15" s="102" t="s">
        <v>372</v>
      </c>
      <c r="F15" s="69"/>
      <c r="K15" s="9"/>
      <c r="Q15" s="141" t="s">
        <v>281</v>
      </c>
      <c r="R15" s="142">
        <v>0.27216238256230779</v>
      </c>
      <c r="S15" s="143" t="s">
        <v>86</v>
      </c>
      <c r="W15" s="83" t="s">
        <v>64</v>
      </c>
      <c r="X15" s="110" t="s">
        <v>10</v>
      </c>
      <c r="Y15" s="110">
        <v>16</v>
      </c>
      <c r="Z15" s="110" t="s">
        <v>287</v>
      </c>
      <c r="AA15" s="114">
        <v>1</v>
      </c>
      <c r="AG15" s="127"/>
    </row>
    <row r="16" spans="1:33" ht="13.8" x14ac:dyDescent="0.3">
      <c r="A16" s="81" t="s">
        <v>5</v>
      </c>
      <c r="B16" s="82" t="s">
        <v>10</v>
      </c>
      <c r="C16" s="82">
        <v>16</v>
      </c>
      <c r="D16" s="82" t="s">
        <v>311</v>
      </c>
      <c r="E16" s="102" t="s">
        <v>372</v>
      </c>
      <c r="F16" s="65"/>
      <c r="K16" s="9"/>
      <c r="L16" s="4"/>
      <c r="Q16" s="141" t="s">
        <v>282</v>
      </c>
      <c r="R16" s="142">
        <v>0.87497195036407094</v>
      </c>
      <c r="S16" s="141" t="s">
        <v>370</v>
      </c>
      <c r="W16" s="83" t="s">
        <v>24</v>
      </c>
      <c r="X16" s="110" t="s">
        <v>16</v>
      </c>
      <c r="Y16" s="110">
        <v>15</v>
      </c>
      <c r="Z16" s="110" t="s">
        <v>323</v>
      </c>
      <c r="AA16" s="114">
        <v>1</v>
      </c>
      <c r="AG16" s="127"/>
    </row>
    <row r="17" spans="1:33" ht="13.8" x14ac:dyDescent="0.3">
      <c r="A17" s="81" t="s">
        <v>14</v>
      </c>
      <c r="B17" s="82" t="s">
        <v>10</v>
      </c>
      <c r="C17" s="82">
        <v>16</v>
      </c>
      <c r="D17" s="82" t="s">
        <v>334</v>
      </c>
      <c r="E17" s="102">
        <f t="shared" si="0"/>
        <v>0.96644084643352246</v>
      </c>
      <c r="F17" s="65"/>
      <c r="K17" s="9"/>
      <c r="L17" s="4"/>
      <c r="Q17" s="141" t="s">
        <v>283</v>
      </c>
      <c r="R17" s="142">
        <v>0.90135028841111697</v>
      </c>
      <c r="S17" s="141" t="s">
        <v>370</v>
      </c>
      <c r="W17" s="83" t="s">
        <v>34</v>
      </c>
      <c r="X17" s="110" t="s">
        <v>28</v>
      </c>
      <c r="Y17" s="110">
        <v>14</v>
      </c>
      <c r="Z17" s="110" t="s">
        <v>293</v>
      </c>
      <c r="AA17" s="114">
        <v>1</v>
      </c>
      <c r="AC17" s="108" t="s">
        <v>139</v>
      </c>
      <c r="AD17" s="109"/>
      <c r="AE17" s="109"/>
      <c r="AF17" s="77">
        <f>AVERAGE(Y$48:Y$67)</f>
        <v>14.6</v>
      </c>
      <c r="AG17" s="126"/>
    </row>
    <row r="18" spans="1:33" ht="14.4" thickBot="1" x14ac:dyDescent="0.35">
      <c r="A18" s="83" t="s">
        <v>15</v>
      </c>
      <c r="B18" s="80" t="s">
        <v>16</v>
      </c>
      <c r="C18" s="80">
        <v>15</v>
      </c>
      <c r="D18" s="80" t="s">
        <v>276</v>
      </c>
      <c r="E18" s="101">
        <f t="shared" si="0"/>
        <v>0.91262379340604238</v>
      </c>
      <c r="F18" s="65"/>
      <c r="K18" s="9"/>
      <c r="L18" s="4"/>
      <c r="N18" s="4"/>
      <c r="Q18" s="141" t="s">
        <v>284</v>
      </c>
      <c r="R18" s="142">
        <v>0.91044690077830015</v>
      </c>
      <c r="S18" s="141" t="s">
        <v>370</v>
      </c>
      <c r="W18" s="83" t="s">
        <v>58</v>
      </c>
      <c r="X18" s="110" t="s">
        <v>49</v>
      </c>
      <c r="Y18" s="110">
        <v>13</v>
      </c>
      <c r="Z18" s="110" t="s">
        <v>275</v>
      </c>
      <c r="AA18" s="114">
        <v>1</v>
      </c>
      <c r="AC18" s="96" t="s">
        <v>77</v>
      </c>
      <c r="AD18" s="96" t="s">
        <v>81</v>
      </c>
      <c r="AE18" s="96" t="s">
        <v>82</v>
      </c>
      <c r="AG18" s="127"/>
    </row>
    <row r="19" spans="1:33" ht="13.8" x14ac:dyDescent="0.3">
      <c r="A19" s="83" t="s">
        <v>17</v>
      </c>
      <c r="B19" s="80" t="s">
        <v>16</v>
      </c>
      <c r="C19" s="80">
        <v>15</v>
      </c>
      <c r="D19" s="80" t="s">
        <v>306</v>
      </c>
      <c r="E19" s="101">
        <f t="shared" si="0"/>
        <v>0.84890438247011957</v>
      </c>
      <c r="F19" s="65"/>
      <c r="K19" s="9"/>
      <c r="L19" s="4"/>
      <c r="N19" s="4"/>
      <c r="Q19" s="141" t="s">
        <v>285</v>
      </c>
      <c r="R19" s="142">
        <v>0.72270267536539723</v>
      </c>
      <c r="S19" s="143" t="s">
        <v>371</v>
      </c>
      <c r="W19" s="83" t="s">
        <v>59</v>
      </c>
      <c r="X19" s="110" t="s">
        <v>49</v>
      </c>
      <c r="Y19" s="110">
        <v>13</v>
      </c>
      <c r="Z19" s="110" t="s">
        <v>336</v>
      </c>
      <c r="AA19" s="114">
        <v>1</v>
      </c>
      <c r="AC19" s="72" t="s">
        <v>138</v>
      </c>
      <c r="AD19" s="86">
        <f>COUNTIF(Y$48:Y$67,"&gt;16")</f>
        <v>2</v>
      </c>
      <c r="AE19" s="87">
        <f>AD19/AD$14</f>
        <v>5.7142857142857141E-2</v>
      </c>
      <c r="AG19" s="127"/>
    </row>
    <row r="20" spans="1:33" ht="13.8" x14ac:dyDescent="0.3">
      <c r="A20" s="83" t="s">
        <v>253</v>
      </c>
      <c r="B20" s="80" t="s">
        <v>16</v>
      </c>
      <c r="C20" s="80">
        <v>15</v>
      </c>
      <c r="D20" s="80" t="s">
        <v>330</v>
      </c>
      <c r="E20" s="101">
        <f t="shared" si="0"/>
        <v>0.66731657086909912</v>
      </c>
      <c r="F20" s="65"/>
      <c r="K20" s="9"/>
      <c r="L20" s="4"/>
      <c r="N20" s="4"/>
      <c r="Q20" s="141" t="s">
        <v>286</v>
      </c>
      <c r="R20" s="142">
        <v>0.99675869094774683</v>
      </c>
      <c r="S20" s="141" t="s">
        <v>370</v>
      </c>
      <c r="W20" s="83" t="s">
        <v>53</v>
      </c>
      <c r="X20" s="110" t="s">
        <v>16</v>
      </c>
      <c r="Y20" s="110">
        <v>15</v>
      </c>
      <c r="Z20" s="110" t="s">
        <v>317</v>
      </c>
      <c r="AA20" s="114">
        <v>0.99967400162999187</v>
      </c>
      <c r="AC20" s="72" t="s">
        <v>10</v>
      </c>
      <c r="AD20" s="86">
        <f>COUNTIF(Y$48:Y$67,"=16")</f>
        <v>2</v>
      </c>
      <c r="AE20" s="87">
        <f t="shared" ref="AE20:AE25" si="3">AD20/AD$14</f>
        <v>5.7142857142857141E-2</v>
      </c>
      <c r="AG20" s="127"/>
    </row>
    <row r="21" spans="1:33" ht="13.8" x14ac:dyDescent="0.3">
      <c r="A21" s="83" t="s">
        <v>254</v>
      </c>
      <c r="B21" s="80" t="s">
        <v>16</v>
      </c>
      <c r="C21" s="80">
        <v>15</v>
      </c>
      <c r="D21" s="80" t="s">
        <v>304</v>
      </c>
      <c r="E21" s="101" t="s">
        <v>372</v>
      </c>
      <c r="F21" s="69"/>
      <c r="Q21" s="141" t="s">
        <v>86</v>
      </c>
      <c r="R21" s="142">
        <v>0.58142655748172922</v>
      </c>
      <c r="S21" s="143" t="s">
        <v>371</v>
      </c>
      <c r="W21" s="83" t="s">
        <v>265</v>
      </c>
      <c r="X21" s="110" t="s">
        <v>61</v>
      </c>
      <c r="Y21" s="110">
        <v>11</v>
      </c>
      <c r="Z21" s="110" t="s">
        <v>313</v>
      </c>
      <c r="AA21" s="114">
        <v>0.99872589064335693</v>
      </c>
      <c r="AC21" s="72" t="s">
        <v>16</v>
      </c>
      <c r="AD21" s="86">
        <f>COUNTIF(Y$48:Y$67,"=15")</f>
        <v>5</v>
      </c>
      <c r="AE21" s="87">
        <f t="shared" si="3"/>
        <v>0.14285714285714285</v>
      </c>
      <c r="AG21" s="127"/>
    </row>
    <row r="22" spans="1:33" ht="13.8" x14ac:dyDescent="0.3">
      <c r="A22" s="83" t="s">
        <v>255</v>
      </c>
      <c r="B22" s="80" t="s">
        <v>16</v>
      </c>
      <c r="C22" s="80">
        <v>15</v>
      </c>
      <c r="D22" s="80" t="s">
        <v>305</v>
      </c>
      <c r="E22" s="101" t="s">
        <v>372</v>
      </c>
      <c r="F22" s="65"/>
      <c r="Q22" s="141" t="s">
        <v>287</v>
      </c>
      <c r="R22" s="142">
        <v>1</v>
      </c>
      <c r="S22" s="141" t="s">
        <v>370</v>
      </c>
      <c r="W22" s="83" t="s">
        <v>6</v>
      </c>
      <c r="X22" s="110" t="s">
        <v>110</v>
      </c>
      <c r="Y22" s="110">
        <v>18</v>
      </c>
      <c r="Z22" s="110" t="s">
        <v>312</v>
      </c>
      <c r="AA22" s="114">
        <v>0.99706741779950658</v>
      </c>
      <c r="AC22" s="72" t="s">
        <v>28</v>
      </c>
      <c r="AD22" s="86">
        <f>COUNTIF(Y$48:Y$67,"=14")</f>
        <v>6</v>
      </c>
      <c r="AE22" s="87">
        <f t="shared" si="3"/>
        <v>0.17142857142857143</v>
      </c>
      <c r="AG22" s="127"/>
    </row>
    <row r="23" spans="1:33" ht="13.8" x14ac:dyDescent="0.3">
      <c r="A23" s="83" t="s">
        <v>12</v>
      </c>
      <c r="B23" s="80" t="s">
        <v>16</v>
      </c>
      <c r="C23" s="80">
        <v>15</v>
      </c>
      <c r="D23" s="80" t="s">
        <v>308</v>
      </c>
      <c r="E23" s="101">
        <f t="shared" si="0"/>
        <v>0.36017814864816144</v>
      </c>
      <c r="F23" s="65"/>
      <c r="Q23" s="141" t="s">
        <v>288</v>
      </c>
      <c r="R23" s="142">
        <v>0.81467245298615421</v>
      </c>
      <c r="S23" s="141" t="s">
        <v>370</v>
      </c>
      <c r="W23" s="83" t="s">
        <v>66</v>
      </c>
      <c r="X23" s="110" t="s">
        <v>28</v>
      </c>
      <c r="Y23" s="110">
        <v>14</v>
      </c>
      <c r="Z23" s="110" t="s">
        <v>314</v>
      </c>
      <c r="AA23" s="114">
        <v>0.99458022018280356</v>
      </c>
      <c r="AC23" s="72" t="s">
        <v>49</v>
      </c>
      <c r="AD23" s="86">
        <f>COUNTIF(Y$48:Y$67,"=13")</f>
        <v>5</v>
      </c>
      <c r="AE23" s="87">
        <f t="shared" si="3"/>
        <v>0.14285714285714285</v>
      </c>
      <c r="AG23" s="127"/>
    </row>
    <row r="24" spans="1:33" ht="14.4" thickBot="1" x14ac:dyDescent="0.35">
      <c r="A24" s="83" t="s">
        <v>52</v>
      </c>
      <c r="B24" s="80" t="s">
        <v>16</v>
      </c>
      <c r="C24" s="80">
        <v>15</v>
      </c>
      <c r="D24" s="80" t="s">
        <v>280</v>
      </c>
      <c r="E24" s="101">
        <f t="shared" si="0"/>
        <v>0.7469877361024081</v>
      </c>
      <c r="F24" s="65"/>
      <c r="Q24" s="141" t="s">
        <v>289</v>
      </c>
      <c r="R24" s="142">
        <v>0.7497019635343618</v>
      </c>
      <c r="S24" s="143" t="s">
        <v>371</v>
      </c>
      <c r="W24" s="83" t="s">
        <v>54</v>
      </c>
      <c r="X24" s="110" t="s">
        <v>56</v>
      </c>
      <c r="Y24" s="110">
        <v>12</v>
      </c>
      <c r="Z24" s="110" t="s">
        <v>325</v>
      </c>
      <c r="AA24" s="114">
        <v>0.99417211067658851</v>
      </c>
      <c r="AC24" s="93" t="s">
        <v>79</v>
      </c>
      <c r="AD24" s="94">
        <f>COUNTIF(Y$48:Y$67,"&lt;13")</f>
        <v>0</v>
      </c>
      <c r="AE24" s="95">
        <f t="shared" si="3"/>
        <v>0</v>
      </c>
      <c r="AG24" s="127"/>
    </row>
    <row r="25" spans="1:33" ht="13.8" x14ac:dyDescent="0.3">
      <c r="A25" s="83" t="s">
        <v>21</v>
      </c>
      <c r="B25" s="80" t="s">
        <v>16</v>
      </c>
      <c r="C25" s="80">
        <v>15</v>
      </c>
      <c r="D25" s="80" t="s">
        <v>315</v>
      </c>
      <c r="E25" s="101">
        <f t="shared" si="0"/>
        <v>0.75386351438754873</v>
      </c>
      <c r="F25" s="65"/>
      <c r="Q25" s="141" t="s">
        <v>290</v>
      </c>
      <c r="R25" s="142">
        <v>0.96341849943457658</v>
      </c>
      <c r="S25" s="141" t="s">
        <v>370</v>
      </c>
      <c r="W25" s="83" t="s">
        <v>75</v>
      </c>
      <c r="X25" s="110" t="s">
        <v>28</v>
      </c>
      <c r="Y25" s="110">
        <v>14</v>
      </c>
      <c r="Z25" s="110" t="s">
        <v>331</v>
      </c>
      <c r="AA25" s="114">
        <v>0.9915841495030967</v>
      </c>
      <c r="AC25" s="88" t="s">
        <v>80</v>
      </c>
      <c r="AD25" s="89">
        <f>SUM(AD19:AD24)</f>
        <v>20</v>
      </c>
      <c r="AE25" s="90">
        <f t="shared" si="3"/>
        <v>0.5714285714285714</v>
      </c>
      <c r="AG25" s="127"/>
    </row>
    <row r="26" spans="1:33" ht="13.8" x14ac:dyDescent="0.3">
      <c r="A26" s="83" t="s">
        <v>53</v>
      </c>
      <c r="B26" s="80" t="s">
        <v>16</v>
      </c>
      <c r="C26" s="80">
        <v>15</v>
      </c>
      <c r="D26" s="80" t="s">
        <v>317</v>
      </c>
      <c r="E26" s="101">
        <f t="shared" si="0"/>
        <v>0.99967400162999187</v>
      </c>
      <c r="F26" s="65"/>
      <c r="Q26" s="141" t="s">
        <v>291</v>
      </c>
      <c r="R26" s="142">
        <v>0.89410444897115693</v>
      </c>
      <c r="S26" s="141" t="s">
        <v>370</v>
      </c>
      <c r="W26" s="83" t="s">
        <v>41</v>
      </c>
      <c r="X26" s="110" t="s">
        <v>49</v>
      </c>
      <c r="Y26" s="110">
        <v>13</v>
      </c>
      <c r="Z26" s="110" t="s">
        <v>321</v>
      </c>
      <c r="AA26" s="114">
        <v>0.97501693766937669</v>
      </c>
      <c r="AG26" s="127"/>
    </row>
    <row r="27" spans="1:33" ht="13.8" x14ac:dyDescent="0.3">
      <c r="A27" s="83" t="s">
        <v>24</v>
      </c>
      <c r="B27" s="80" t="s">
        <v>16</v>
      </c>
      <c r="C27" s="80">
        <v>15</v>
      </c>
      <c r="D27" s="80" t="s">
        <v>323</v>
      </c>
      <c r="E27" s="101">
        <f t="shared" si="0"/>
        <v>1</v>
      </c>
      <c r="F27" s="65"/>
      <c r="Q27" s="141" t="s">
        <v>292</v>
      </c>
      <c r="R27" s="142">
        <v>1.0293089747728885</v>
      </c>
      <c r="S27" s="141" t="s">
        <v>370</v>
      </c>
      <c r="W27" s="83" t="s">
        <v>258</v>
      </c>
      <c r="X27" s="110" t="s">
        <v>28</v>
      </c>
      <c r="Y27" s="110">
        <v>14</v>
      </c>
      <c r="Z27" s="110" t="s">
        <v>274</v>
      </c>
      <c r="AA27" s="114">
        <v>0.97067096880946468</v>
      </c>
      <c r="AG27" s="127"/>
    </row>
    <row r="28" spans="1:33" ht="13.8" x14ac:dyDescent="0.3">
      <c r="A28" s="83" t="s">
        <v>256</v>
      </c>
      <c r="B28" s="80" t="s">
        <v>16</v>
      </c>
      <c r="C28" s="80">
        <v>15</v>
      </c>
      <c r="D28" s="80" t="s">
        <v>319</v>
      </c>
      <c r="E28" s="101">
        <f t="shared" si="0"/>
        <v>0.85164553720066594</v>
      </c>
      <c r="F28" s="65"/>
      <c r="Q28" s="141" t="s">
        <v>293</v>
      </c>
      <c r="R28" s="142">
        <v>1</v>
      </c>
      <c r="S28" s="141" t="s">
        <v>370</v>
      </c>
      <c r="W28" s="83" t="s">
        <v>264</v>
      </c>
      <c r="X28" s="110" t="s">
        <v>56</v>
      </c>
      <c r="Y28" s="110">
        <v>12</v>
      </c>
      <c r="Z28" s="110" t="s">
        <v>332</v>
      </c>
      <c r="AA28" s="114">
        <v>0.97028603165787286</v>
      </c>
      <c r="AC28" s="108" t="s">
        <v>140</v>
      </c>
      <c r="AD28" s="109"/>
      <c r="AE28" s="109"/>
      <c r="AF28" s="77">
        <f>AVERAGE(Y$68:Y$72)</f>
        <v>12.6</v>
      </c>
      <c r="AG28" s="126"/>
    </row>
    <row r="29" spans="1:33" ht="14.4" thickBot="1" x14ac:dyDescent="0.35">
      <c r="A29" s="83" t="s">
        <v>13</v>
      </c>
      <c r="B29" s="80" t="s">
        <v>16</v>
      </c>
      <c r="C29" s="80">
        <v>15</v>
      </c>
      <c r="D29" s="80" t="s">
        <v>326</v>
      </c>
      <c r="E29" s="101">
        <f t="shared" si="0"/>
        <v>0.77327600463039525</v>
      </c>
      <c r="F29" s="69"/>
      <c r="Q29" s="141" t="s">
        <v>294</v>
      </c>
      <c r="R29" s="142">
        <v>0.27230062686467099</v>
      </c>
      <c r="S29" s="141" t="s">
        <v>86</v>
      </c>
      <c r="W29" s="83" t="s">
        <v>14</v>
      </c>
      <c r="X29" s="110" t="s">
        <v>10</v>
      </c>
      <c r="Y29" s="110">
        <v>16</v>
      </c>
      <c r="Z29" s="110" t="s">
        <v>334</v>
      </c>
      <c r="AA29" s="114">
        <v>0.96644084643352246</v>
      </c>
      <c r="AC29" s="96" t="s">
        <v>77</v>
      </c>
      <c r="AD29" s="96" t="s">
        <v>81</v>
      </c>
      <c r="AE29" s="96" t="s">
        <v>82</v>
      </c>
    </row>
    <row r="30" spans="1:33" ht="13.8" x14ac:dyDescent="0.3">
      <c r="A30" s="83" t="s">
        <v>25</v>
      </c>
      <c r="B30" s="80" t="s">
        <v>16</v>
      </c>
      <c r="C30" s="80">
        <v>15</v>
      </c>
      <c r="D30" s="80" t="s">
        <v>328</v>
      </c>
      <c r="E30" s="101">
        <f t="shared" si="0"/>
        <v>0.614337822671156</v>
      </c>
      <c r="F30" s="65"/>
      <c r="Q30" s="141" t="s">
        <v>295</v>
      </c>
      <c r="R30" s="142">
        <v>0.78356336260978665</v>
      </c>
      <c r="S30" s="143" t="s">
        <v>371</v>
      </c>
      <c r="W30" s="83" t="s">
        <v>19</v>
      </c>
      <c r="X30" s="110" t="s">
        <v>10</v>
      </c>
      <c r="Y30" s="110">
        <v>16</v>
      </c>
      <c r="Z30" s="110" t="s">
        <v>290</v>
      </c>
      <c r="AA30" s="114">
        <v>0.96341849943457658</v>
      </c>
      <c r="AC30" s="72" t="s">
        <v>138</v>
      </c>
      <c r="AD30" s="86">
        <f>COUNTIF(Y$68:Y$72,"&gt;16")</f>
        <v>0</v>
      </c>
      <c r="AE30" s="87">
        <f>AD30/AD$14</f>
        <v>0</v>
      </c>
    </row>
    <row r="31" spans="1:33" ht="13.8" x14ac:dyDescent="0.3">
      <c r="A31" s="83" t="s">
        <v>26</v>
      </c>
      <c r="B31" s="80" t="s">
        <v>16</v>
      </c>
      <c r="C31" s="80">
        <v>15</v>
      </c>
      <c r="D31" s="80" t="s">
        <v>335</v>
      </c>
      <c r="E31" s="101">
        <f t="shared" si="0"/>
        <v>0.84932154135723226</v>
      </c>
      <c r="F31" s="65"/>
      <c r="K31" s="66"/>
      <c r="L31" s="66"/>
      <c r="Q31" s="141" t="s">
        <v>296</v>
      </c>
      <c r="R31" s="142">
        <v>0.79472908539599674</v>
      </c>
      <c r="S31" s="143" t="s">
        <v>371</v>
      </c>
      <c r="W31" s="83" t="s">
        <v>512</v>
      </c>
      <c r="X31" s="110" t="s">
        <v>28</v>
      </c>
      <c r="Y31" s="110">
        <v>14</v>
      </c>
      <c r="Z31" s="110" t="s">
        <v>511</v>
      </c>
      <c r="AA31" s="114">
        <v>0.9619710194413027</v>
      </c>
      <c r="AC31" s="72" t="s">
        <v>10</v>
      </c>
      <c r="AD31" s="86">
        <f>COUNTIF(Y$68:Y$72,"=16")</f>
        <v>0</v>
      </c>
      <c r="AE31" s="87">
        <f t="shared" ref="AE31:AE36" si="4">AD31/AD$14</f>
        <v>0</v>
      </c>
    </row>
    <row r="32" spans="1:33" ht="13.8" x14ac:dyDescent="0.3">
      <c r="A32" s="83" t="s">
        <v>257</v>
      </c>
      <c r="B32" s="80" t="s">
        <v>16</v>
      </c>
      <c r="C32" s="80">
        <v>15</v>
      </c>
      <c r="D32" s="80" t="s">
        <v>337</v>
      </c>
      <c r="E32" s="101">
        <f t="shared" si="0"/>
        <v>0.94699999999999995</v>
      </c>
      <c r="F32" s="65"/>
      <c r="L32" s="66"/>
      <c r="Q32" s="141" t="s">
        <v>297</v>
      </c>
      <c r="R32" s="142">
        <v>0.60422936152907691</v>
      </c>
      <c r="S32" s="143" t="s">
        <v>371</v>
      </c>
      <c r="W32" s="83" t="s">
        <v>20</v>
      </c>
      <c r="X32" s="110" t="s">
        <v>28</v>
      </c>
      <c r="Y32" s="110">
        <v>14</v>
      </c>
      <c r="Z32" s="110" t="s">
        <v>302</v>
      </c>
      <c r="AA32" s="114">
        <v>0.96099371344273887</v>
      </c>
      <c r="AC32" s="72" t="s">
        <v>16</v>
      </c>
      <c r="AD32" s="86">
        <f>COUNTIF(Y$68:Y$72,"=15")</f>
        <v>1</v>
      </c>
      <c r="AE32" s="87">
        <f t="shared" si="4"/>
        <v>2.8571428571428571E-2</v>
      </c>
    </row>
    <row r="33" spans="1:31" ht="13.8" x14ac:dyDescent="0.3">
      <c r="A33" s="81" t="s">
        <v>258</v>
      </c>
      <c r="B33" s="82" t="s">
        <v>28</v>
      </c>
      <c r="C33" s="82">
        <v>14</v>
      </c>
      <c r="D33" s="82" t="s">
        <v>274</v>
      </c>
      <c r="E33" s="102">
        <f t="shared" si="0"/>
        <v>0.97067096880946468</v>
      </c>
      <c r="F33" s="65"/>
      <c r="L33" s="66"/>
      <c r="Q33" s="141" t="s">
        <v>298</v>
      </c>
      <c r="R33" s="142">
        <v>0.66983442164179108</v>
      </c>
      <c r="S33" s="143" t="s">
        <v>371</v>
      </c>
      <c r="W33" s="83" t="s">
        <v>257</v>
      </c>
      <c r="X33" s="110" t="s">
        <v>16</v>
      </c>
      <c r="Y33" s="110">
        <v>15</v>
      </c>
      <c r="Z33" s="110" t="s">
        <v>337</v>
      </c>
      <c r="AA33" s="114">
        <v>0.94699999999999995</v>
      </c>
      <c r="AC33" s="72" t="s">
        <v>28</v>
      </c>
      <c r="AD33" s="86">
        <f>COUNTIF(Y$68:Y$72,"=14")</f>
        <v>2</v>
      </c>
      <c r="AE33" s="87">
        <f t="shared" si="4"/>
        <v>5.7142857142857141E-2</v>
      </c>
    </row>
    <row r="34" spans="1:31" ht="13.8" x14ac:dyDescent="0.3">
      <c r="A34" s="81" t="s">
        <v>29</v>
      </c>
      <c r="B34" s="82" t="s">
        <v>28</v>
      </c>
      <c r="C34" s="82">
        <v>14</v>
      </c>
      <c r="D34" s="82" t="s">
        <v>285</v>
      </c>
      <c r="E34" s="102">
        <f t="shared" si="0"/>
        <v>0.72270267536539723</v>
      </c>
      <c r="F34" s="65"/>
      <c r="H34" s="4"/>
      <c r="I34" s="4"/>
      <c r="L34" s="66"/>
      <c r="Q34" s="141" t="s">
        <v>300</v>
      </c>
      <c r="R34" s="142">
        <v>1.0333026830763428</v>
      </c>
      <c r="S34" s="141" t="s">
        <v>370</v>
      </c>
      <c r="W34" s="83" t="s">
        <v>55</v>
      </c>
      <c r="X34" s="110" t="s">
        <v>49</v>
      </c>
      <c r="Y34" s="110">
        <v>13</v>
      </c>
      <c r="Z34" s="110" t="s">
        <v>277</v>
      </c>
      <c r="AA34" s="114">
        <v>0.9427287640364086</v>
      </c>
      <c r="AC34" s="72" t="s">
        <v>49</v>
      </c>
      <c r="AD34" s="86">
        <f>COUNTIF(Y$68:Y$72,"=13")</f>
        <v>1</v>
      </c>
      <c r="AE34" s="87">
        <f t="shared" si="4"/>
        <v>2.8571428571428571E-2</v>
      </c>
    </row>
    <row r="35" spans="1:31" ht="14.4" thickBot="1" x14ac:dyDescent="0.35">
      <c r="A35" s="81" t="s">
        <v>30</v>
      </c>
      <c r="B35" s="82" t="s">
        <v>28</v>
      </c>
      <c r="C35" s="82">
        <v>14</v>
      </c>
      <c r="D35" s="82" t="s">
        <v>284</v>
      </c>
      <c r="E35" s="102">
        <f t="shared" si="0"/>
        <v>0.91044690077830015</v>
      </c>
      <c r="F35" s="65"/>
      <c r="G35" s="86" t="s">
        <v>267</v>
      </c>
      <c r="H35" s="4"/>
      <c r="I35" s="4"/>
      <c r="J35" s="4"/>
      <c r="L35" s="67"/>
      <c r="Q35" s="141" t="s">
        <v>301</v>
      </c>
      <c r="R35" s="142">
        <v>0.44575810739314115</v>
      </c>
      <c r="S35" s="143" t="s">
        <v>86</v>
      </c>
      <c r="W35" s="83" t="s">
        <v>7</v>
      </c>
      <c r="X35" s="110" t="s">
        <v>2</v>
      </c>
      <c r="Y35" s="110">
        <v>17</v>
      </c>
      <c r="Z35" s="110" t="s">
        <v>327</v>
      </c>
      <c r="AA35" s="114">
        <v>0.93000422702993502</v>
      </c>
      <c r="AC35" s="93" t="s">
        <v>79</v>
      </c>
      <c r="AD35" s="94">
        <f>COUNTIF(Y$68:Y$72,"&lt;13")</f>
        <v>1</v>
      </c>
      <c r="AE35" s="95">
        <f t="shared" si="4"/>
        <v>2.8571428571428571E-2</v>
      </c>
    </row>
    <row r="36" spans="1:31" ht="13.8" x14ac:dyDescent="0.3">
      <c r="A36" s="81" t="s">
        <v>31</v>
      </c>
      <c r="B36" s="82" t="s">
        <v>28</v>
      </c>
      <c r="C36" s="82">
        <v>14</v>
      </c>
      <c r="D36" s="82" t="s">
        <v>288</v>
      </c>
      <c r="E36" s="102">
        <f t="shared" si="0"/>
        <v>0.81467245298615421</v>
      </c>
      <c r="F36" s="65"/>
      <c r="G36" s="140"/>
      <c r="H36" s="11"/>
      <c r="I36" s="11"/>
      <c r="J36" s="4"/>
      <c r="L36" s="67"/>
      <c r="Q36" s="141" t="s">
        <v>302</v>
      </c>
      <c r="R36" s="142">
        <v>0.96099371344273887</v>
      </c>
      <c r="S36" s="141" t="s">
        <v>370</v>
      </c>
      <c r="W36" s="83" t="s">
        <v>15</v>
      </c>
      <c r="X36" s="110" t="s">
        <v>16</v>
      </c>
      <c r="Y36" s="110">
        <v>15</v>
      </c>
      <c r="Z36" s="110" t="s">
        <v>276</v>
      </c>
      <c r="AA36" s="114">
        <v>0.91262379340604238</v>
      </c>
      <c r="AC36" s="88" t="s">
        <v>80</v>
      </c>
      <c r="AD36" s="89">
        <f>SUM(AD30:AD35)</f>
        <v>5</v>
      </c>
      <c r="AE36" s="90">
        <f t="shared" si="4"/>
        <v>0.14285714285714285</v>
      </c>
    </row>
    <row r="37" spans="1:31" ht="13.8" x14ac:dyDescent="0.3">
      <c r="A37" s="81" t="s">
        <v>34</v>
      </c>
      <c r="B37" s="82" t="s">
        <v>28</v>
      </c>
      <c r="C37" s="82">
        <v>14</v>
      </c>
      <c r="D37" s="82" t="s">
        <v>293</v>
      </c>
      <c r="E37" s="102">
        <f t="shared" si="0"/>
        <v>1</v>
      </c>
      <c r="F37" s="65"/>
      <c r="H37" s="12"/>
      <c r="I37" s="4"/>
      <c r="J37" s="11"/>
      <c r="Q37" s="141" t="s">
        <v>306</v>
      </c>
      <c r="R37" s="142">
        <v>0.84890438247011957</v>
      </c>
      <c r="S37" s="141" t="s">
        <v>370</v>
      </c>
      <c r="W37" s="83" t="s">
        <v>30</v>
      </c>
      <c r="X37" s="110" t="s">
        <v>28</v>
      </c>
      <c r="Y37" s="110">
        <v>14</v>
      </c>
      <c r="Z37" s="110" t="s">
        <v>284</v>
      </c>
      <c r="AA37" s="114">
        <v>0.91044690077830015</v>
      </c>
    </row>
    <row r="38" spans="1:31" ht="13.8" x14ac:dyDescent="0.3">
      <c r="A38" s="81" t="s">
        <v>36</v>
      </c>
      <c r="B38" s="82" t="s">
        <v>28</v>
      </c>
      <c r="C38" s="82">
        <v>14</v>
      </c>
      <c r="D38" s="82" t="s">
        <v>296</v>
      </c>
      <c r="E38" s="102">
        <f t="shared" si="0"/>
        <v>0.79472908539599674</v>
      </c>
      <c r="F38" s="65"/>
      <c r="H38" s="12"/>
      <c r="I38" s="4"/>
      <c r="J38" s="13"/>
      <c r="Q38" s="141" t="s">
        <v>307</v>
      </c>
      <c r="R38" s="142">
        <v>0.98237685298627964</v>
      </c>
      <c r="S38" s="141" t="s">
        <v>370</v>
      </c>
      <c r="W38" s="83" t="s">
        <v>62</v>
      </c>
      <c r="X38" s="110" t="s">
        <v>28</v>
      </c>
      <c r="Y38" s="110">
        <v>14</v>
      </c>
      <c r="Z38" s="110" t="s">
        <v>329</v>
      </c>
      <c r="AA38" s="114">
        <v>0.90975829351063098</v>
      </c>
    </row>
    <row r="39" spans="1:31" ht="13.8" x14ac:dyDescent="0.3">
      <c r="A39" s="81" t="s">
        <v>11</v>
      </c>
      <c r="B39" s="82" t="s">
        <v>28</v>
      </c>
      <c r="C39" s="82">
        <v>14</v>
      </c>
      <c r="D39" s="82" t="s">
        <v>297</v>
      </c>
      <c r="E39" s="102">
        <f t="shared" si="0"/>
        <v>0.60422936152907691</v>
      </c>
      <c r="F39" s="65"/>
      <c r="H39" s="12"/>
      <c r="I39" s="4"/>
      <c r="J39" s="13"/>
      <c r="Q39" s="141" t="s">
        <v>308</v>
      </c>
      <c r="R39" s="142">
        <v>0.36017814864816144</v>
      </c>
      <c r="S39" s="143" t="s">
        <v>86</v>
      </c>
      <c r="W39" s="83" t="s">
        <v>60</v>
      </c>
      <c r="X39" s="110" t="s">
        <v>49</v>
      </c>
      <c r="Y39" s="110">
        <v>13</v>
      </c>
      <c r="Z39" s="110" t="s">
        <v>283</v>
      </c>
      <c r="AA39" s="114">
        <v>0.90135028841111697</v>
      </c>
    </row>
    <row r="40" spans="1:31" ht="13.8" x14ac:dyDescent="0.3">
      <c r="A40" s="81" t="s">
        <v>51</v>
      </c>
      <c r="B40" s="82" t="s">
        <v>28</v>
      </c>
      <c r="C40" s="82">
        <v>14</v>
      </c>
      <c r="D40" s="82" t="s">
        <v>298</v>
      </c>
      <c r="E40" s="102">
        <f t="shared" si="0"/>
        <v>0.66983442164179108</v>
      </c>
      <c r="F40" s="65"/>
      <c r="H40" s="12"/>
      <c r="I40" s="4"/>
      <c r="J40" s="13"/>
      <c r="Q40" s="141" t="s">
        <v>309</v>
      </c>
      <c r="R40" s="142">
        <v>0.77794419936265724</v>
      </c>
      <c r="S40" s="143" t="s">
        <v>371</v>
      </c>
      <c r="W40" s="83" t="s">
        <v>3</v>
      </c>
      <c r="X40" s="110" t="s">
        <v>10</v>
      </c>
      <c r="Y40" s="110">
        <v>16</v>
      </c>
      <c r="Z40" s="110" t="s">
        <v>291</v>
      </c>
      <c r="AA40" s="114">
        <v>0.89410444897115693</v>
      </c>
    </row>
    <row r="41" spans="1:31" ht="13.8" x14ac:dyDescent="0.3">
      <c r="A41" s="81" t="s">
        <v>260</v>
      </c>
      <c r="B41" s="82" t="s">
        <v>28</v>
      </c>
      <c r="C41" s="82">
        <v>14</v>
      </c>
      <c r="D41" s="82" t="s">
        <v>300</v>
      </c>
      <c r="E41" s="102">
        <f t="shared" si="0"/>
        <v>1.0333026830763428</v>
      </c>
      <c r="F41" s="69"/>
      <c r="H41" s="12"/>
      <c r="I41" s="4"/>
      <c r="J41" s="13"/>
      <c r="Q41" s="141" t="s">
        <v>368</v>
      </c>
      <c r="R41" s="142">
        <v>0.55330389203021169</v>
      </c>
      <c r="S41" s="143" t="s">
        <v>371</v>
      </c>
      <c r="W41" s="83" t="s">
        <v>42</v>
      </c>
      <c r="X41" s="110" t="s">
        <v>65</v>
      </c>
      <c r="Y41" s="110">
        <v>10</v>
      </c>
      <c r="Z41" s="110" t="s">
        <v>320</v>
      </c>
      <c r="AA41" s="114">
        <v>0.89259170051200387</v>
      </c>
    </row>
    <row r="42" spans="1:31" ht="13.8" x14ac:dyDescent="0.3">
      <c r="A42" s="81" t="s">
        <v>38</v>
      </c>
      <c r="B42" s="82" t="s">
        <v>28</v>
      </c>
      <c r="C42" s="82">
        <v>14</v>
      </c>
      <c r="D42" s="82" t="s">
        <v>299</v>
      </c>
      <c r="E42" s="102" t="s">
        <v>372</v>
      </c>
      <c r="F42" s="65"/>
      <c r="H42" s="12"/>
      <c r="I42" s="4"/>
      <c r="J42" s="13"/>
      <c r="Q42" s="141" t="s">
        <v>310</v>
      </c>
      <c r="R42" s="142">
        <v>0.58034319753835939</v>
      </c>
      <c r="S42" s="143" t="s">
        <v>371</v>
      </c>
      <c r="W42" s="83" t="s">
        <v>263</v>
      </c>
      <c r="X42" s="110" t="s">
        <v>2</v>
      </c>
      <c r="Y42" s="110">
        <v>17</v>
      </c>
      <c r="Z42" s="110" t="s">
        <v>282</v>
      </c>
      <c r="AA42" s="114">
        <v>0.87497195036407094</v>
      </c>
    </row>
    <row r="43" spans="1:31" ht="13.8" x14ac:dyDescent="0.3">
      <c r="A43" s="81" t="s">
        <v>39</v>
      </c>
      <c r="B43" s="82" t="s">
        <v>28</v>
      </c>
      <c r="C43" s="82">
        <v>14</v>
      </c>
      <c r="D43" s="82" t="s">
        <v>301</v>
      </c>
      <c r="E43" s="102">
        <f t="shared" si="0"/>
        <v>0.44575810739314115</v>
      </c>
      <c r="F43" s="65"/>
      <c r="H43" s="4"/>
      <c r="I43" s="4"/>
      <c r="J43" s="4"/>
      <c r="Q43" s="141" t="s">
        <v>312</v>
      </c>
      <c r="R43" s="142">
        <v>0.99706741779950658</v>
      </c>
      <c r="S43" s="141" t="s">
        <v>370</v>
      </c>
      <c r="W43" s="83" t="s">
        <v>256</v>
      </c>
      <c r="X43" s="110" t="s">
        <v>16</v>
      </c>
      <c r="Y43" s="110">
        <v>15</v>
      </c>
      <c r="Z43" s="110" t="s">
        <v>319</v>
      </c>
      <c r="AA43" s="114">
        <v>0.85164553720066594</v>
      </c>
    </row>
    <row r="44" spans="1:31" ht="13.8" x14ac:dyDescent="0.3">
      <c r="A44" s="81" t="s">
        <v>20</v>
      </c>
      <c r="B44" s="82" t="s">
        <v>28</v>
      </c>
      <c r="C44" s="82">
        <v>14</v>
      </c>
      <c r="D44" s="82" t="s">
        <v>302</v>
      </c>
      <c r="E44" s="102">
        <f t="shared" si="0"/>
        <v>0.96099371344273887</v>
      </c>
      <c r="F44" s="65"/>
      <c r="H44" s="4"/>
      <c r="I44" s="4"/>
      <c r="J44" s="4"/>
      <c r="Q44" s="141" t="s">
        <v>511</v>
      </c>
      <c r="R44" s="142">
        <v>0.9619710194413027</v>
      </c>
      <c r="S44" s="141" t="s">
        <v>370</v>
      </c>
      <c r="W44" s="83" t="s">
        <v>26</v>
      </c>
      <c r="X44" s="110" t="s">
        <v>16</v>
      </c>
      <c r="Y44" s="110">
        <v>15</v>
      </c>
      <c r="Z44" s="110" t="s">
        <v>335</v>
      </c>
      <c r="AA44" s="114">
        <v>0.84932154135723226</v>
      </c>
    </row>
    <row r="45" spans="1:31" ht="13.8" x14ac:dyDescent="0.3">
      <c r="A45" s="81" t="s">
        <v>512</v>
      </c>
      <c r="B45" s="82" t="s">
        <v>28</v>
      </c>
      <c r="C45" s="82">
        <v>14</v>
      </c>
      <c r="D45" s="82" t="s">
        <v>511</v>
      </c>
      <c r="E45" s="102">
        <f t="shared" si="0"/>
        <v>0.9619710194413027</v>
      </c>
      <c r="F45" s="65"/>
      <c r="H45" s="4"/>
      <c r="I45" s="4"/>
      <c r="J45" s="4"/>
      <c r="Q45" s="141" t="s">
        <v>313</v>
      </c>
      <c r="R45" s="142">
        <v>0.99872589064335693</v>
      </c>
      <c r="S45" s="141" t="s">
        <v>370</v>
      </c>
      <c r="W45" s="83" t="s">
        <v>17</v>
      </c>
      <c r="X45" s="110" t="s">
        <v>16</v>
      </c>
      <c r="Y45" s="110">
        <v>15</v>
      </c>
      <c r="Z45" s="110" t="s">
        <v>306</v>
      </c>
      <c r="AA45" s="114">
        <v>0.84890438247011957</v>
      </c>
    </row>
    <row r="46" spans="1:31" ht="13.8" x14ac:dyDescent="0.3">
      <c r="A46" s="81" t="s">
        <v>66</v>
      </c>
      <c r="B46" s="82" t="s">
        <v>28</v>
      </c>
      <c r="C46" s="82">
        <v>14</v>
      </c>
      <c r="D46" s="82" t="s">
        <v>314</v>
      </c>
      <c r="E46" s="102">
        <f t="shared" si="0"/>
        <v>0.99458022018280356</v>
      </c>
      <c r="F46" s="69"/>
      <c r="G46" s="66"/>
      <c r="J46" s="67"/>
      <c r="Q46" s="141" t="s">
        <v>314</v>
      </c>
      <c r="R46" s="142">
        <v>0.99458022018280356</v>
      </c>
      <c r="S46" s="141" t="s">
        <v>370</v>
      </c>
      <c r="W46" s="83" t="s">
        <v>9</v>
      </c>
      <c r="X46" s="110" t="s">
        <v>49</v>
      </c>
      <c r="Y46" s="110">
        <v>13</v>
      </c>
      <c r="Z46" s="110" t="s">
        <v>273</v>
      </c>
      <c r="AA46" s="114">
        <v>0.82576712904581762</v>
      </c>
    </row>
    <row r="47" spans="1:31" ht="13.8" x14ac:dyDescent="0.3">
      <c r="A47" s="81" t="s">
        <v>23</v>
      </c>
      <c r="B47" s="82" t="s">
        <v>28</v>
      </c>
      <c r="C47" s="82">
        <v>14</v>
      </c>
      <c r="D47" s="82" t="s">
        <v>322</v>
      </c>
      <c r="E47" s="102">
        <f t="shared" si="0"/>
        <v>0.64890043729006908</v>
      </c>
      <c r="F47" s="69"/>
      <c r="G47" s="66"/>
      <c r="I47" s="66"/>
      <c r="J47" s="66"/>
      <c r="Q47" s="141" t="s">
        <v>315</v>
      </c>
      <c r="R47" s="142">
        <v>0.75386351438754873</v>
      </c>
      <c r="S47" s="143" t="s">
        <v>371</v>
      </c>
      <c r="W47" s="83" t="s">
        <v>31</v>
      </c>
      <c r="X47" s="110" t="s">
        <v>28</v>
      </c>
      <c r="Y47" s="110">
        <v>14</v>
      </c>
      <c r="Z47" s="110" t="s">
        <v>288</v>
      </c>
      <c r="AA47" s="114">
        <v>0.81467245298615421</v>
      </c>
    </row>
    <row r="48" spans="1:31" ht="13.8" x14ac:dyDescent="0.3">
      <c r="A48" s="81" t="s">
        <v>43</v>
      </c>
      <c r="B48" s="82" t="s">
        <v>28</v>
      </c>
      <c r="C48" s="82">
        <v>14</v>
      </c>
      <c r="D48" s="82" t="s">
        <v>324</v>
      </c>
      <c r="E48" s="102">
        <f t="shared" si="0"/>
        <v>0.42404692082111439</v>
      </c>
      <c r="F48" s="65"/>
      <c r="G48" s="66"/>
      <c r="I48" s="66"/>
      <c r="J48" s="66"/>
      <c r="Q48" s="141" t="s">
        <v>316</v>
      </c>
      <c r="R48" s="142">
        <v>0.63819230650865855</v>
      </c>
      <c r="S48" s="143" t="s">
        <v>371</v>
      </c>
      <c r="W48" s="83" t="s">
        <v>36</v>
      </c>
      <c r="X48" s="110" t="s">
        <v>28</v>
      </c>
      <c r="Y48" s="110">
        <v>14</v>
      </c>
      <c r="Z48" s="110" t="s">
        <v>296</v>
      </c>
      <c r="AA48" s="114">
        <v>0.79472908539599674</v>
      </c>
    </row>
    <row r="49" spans="1:27" ht="13.8" x14ac:dyDescent="0.3">
      <c r="A49" s="81" t="s">
        <v>45</v>
      </c>
      <c r="B49" s="82" t="s">
        <v>28</v>
      </c>
      <c r="C49" s="82">
        <v>14</v>
      </c>
      <c r="D49" s="82" t="s">
        <v>318</v>
      </c>
      <c r="E49" s="102">
        <f t="shared" si="0"/>
        <v>0.57546119039331711</v>
      </c>
      <c r="F49" s="65"/>
      <c r="G49" s="67"/>
      <c r="I49" s="66"/>
      <c r="J49" s="66"/>
      <c r="Q49" s="141" t="s">
        <v>317</v>
      </c>
      <c r="R49" s="142">
        <v>0.99967400162999187</v>
      </c>
      <c r="S49" s="141" t="s">
        <v>370</v>
      </c>
      <c r="W49" s="83" t="s">
        <v>57</v>
      </c>
      <c r="X49" s="110" t="s">
        <v>49</v>
      </c>
      <c r="Y49" s="110">
        <v>13</v>
      </c>
      <c r="Z49" s="110" t="s">
        <v>295</v>
      </c>
      <c r="AA49" s="114">
        <v>0.78356336260978665</v>
      </c>
    </row>
    <row r="50" spans="1:27" ht="13.8" x14ac:dyDescent="0.3">
      <c r="A50" s="81" t="s">
        <v>62</v>
      </c>
      <c r="B50" s="82" t="s">
        <v>28</v>
      </c>
      <c r="C50" s="82">
        <v>14</v>
      </c>
      <c r="D50" s="82" t="s">
        <v>329</v>
      </c>
      <c r="E50" s="102">
        <f t="shared" si="0"/>
        <v>0.90975829351063098</v>
      </c>
      <c r="F50" s="69"/>
      <c r="G50" s="67"/>
      <c r="H50" s="4"/>
      <c r="I50" s="67"/>
      <c r="J50" s="67"/>
      <c r="Q50" s="141" t="s">
        <v>318</v>
      </c>
      <c r="R50" s="142">
        <v>0.57546119039331711</v>
      </c>
      <c r="S50" s="143" t="s">
        <v>371</v>
      </c>
      <c r="W50" s="83" t="s">
        <v>262</v>
      </c>
      <c r="X50" s="110" t="s">
        <v>108</v>
      </c>
      <c r="Y50" s="110">
        <v>19</v>
      </c>
      <c r="Z50" s="110" t="s">
        <v>309</v>
      </c>
      <c r="AA50" s="114">
        <v>0.77794419936265724</v>
      </c>
    </row>
    <row r="51" spans="1:27" ht="13.8" x14ac:dyDescent="0.3">
      <c r="A51" s="131" t="s">
        <v>75</v>
      </c>
      <c r="B51" s="82" t="s">
        <v>28</v>
      </c>
      <c r="C51" s="82">
        <v>14</v>
      </c>
      <c r="D51" s="82" t="s">
        <v>331</v>
      </c>
      <c r="E51" s="102">
        <f>VLOOKUP($D51,$Q$7:$R$75,2,0)</f>
        <v>0.9915841495030967</v>
      </c>
      <c r="F51" s="69"/>
      <c r="H51" s="4"/>
      <c r="I51" s="67"/>
      <c r="J51" s="67"/>
      <c r="Q51" s="141" t="s">
        <v>319</v>
      </c>
      <c r="R51" s="142">
        <v>0.85164553720066594</v>
      </c>
      <c r="S51" s="141" t="s">
        <v>370</v>
      </c>
      <c r="W51" s="83" t="s">
        <v>13</v>
      </c>
      <c r="X51" s="110" t="s">
        <v>16</v>
      </c>
      <c r="Y51" s="110">
        <v>15</v>
      </c>
      <c r="Z51" s="110" t="s">
        <v>326</v>
      </c>
      <c r="AA51" s="114">
        <v>0.77327600463039525</v>
      </c>
    </row>
    <row r="52" spans="1:27" ht="13.8" x14ac:dyDescent="0.3">
      <c r="A52" s="79" t="s">
        <v>67</v>
      </c>
      <c r="B52" s="80" t="s">
        <v>49</v>
      </c>
      <c r="C52" s="80">
        <v>13</v>
      </c>
      <c r="D52" s="80" t="s">
        <v>278</v>
      </c>
      <c r="E52" s="101">
        <f t="shared" si="0"/>
        <v>0.62875460562079877</v>
      </c>
      <c r="F52" s="69"/>
      <c r="Q52" s="141" t="s">
        <v>320</v>
      </c>
      <c r="R52" s="142">
        <v>0.89259170051200387</v>
      </c>
      <c r="S52" s="141" t="s">
        <v>370</v>
      </c>
      <c r="W52" s="83" t="s">
        <v>21</v>
      </c>
      <c r="X52" s="110" t="s">
        <v>16</v>
      </c>
      <c r="Y52" s="110">
        <v>15</v>
      </c>
      <c r="Z52" s="110" t="s">
        <v>315</v>
      </c>
      <c r="AA52" s="114">
        <v>0.75386351438754873</v>
      </c>
    </row>
    <row r="53" spans="1:27" ht="13.8" x14ac:dyDescent="0.3">
      <c r="A53" s="79" t="s">
        <v>9</v>
      </c>
      <c r="B53" s="80" t="s">
        <v>49</v>
      </c>
      <c r="C53" s="80">
        <v>13</v>
      </c>
      <c r="D53" s="80" t="s">
        <v>273</v>
      </c>
      <c r="E53" s="101">
        <f t="shared" si="0"/>
        <v>0.82576712904581762</v>
      </c>
      <c r="F53" s="69"/>
      <c r="Q53" s="141" t="s">
        <v>321</v>
      </c>
      <c r="R53" s="142">
        <v>0.97501693766937669</v>
      </c>
      <c r="S53" s="141" t="s">
        <v>370</v>
      </c>
      <c r="W53" s="83" t="s">
        <v>32</v>
      </c>
      <c r="X53" s="110" t="s">
        <v>10</v>
      </c>
      <c r="Y53" s="110">
        <v>16</v>
      </c>
      <c r="Z53" s="110" t="s">
        <v>289</v>
      </c>
      <c r="AA53" s="114">
        <v>0.7497019635343618</v>
      </c>
    </row>
    <row r="54" spans="1:27" ht="13.8" x14ac:dyDescent="0.3">
      <c r="A54" s="79" t="s">
        <v>55</v>
      </c>
      <c r="B54" s="80" t="s">
        <v>49</v>
      </c>
      <c r="C54" s="80">
        <v>13</v>
      </c>
      <c r="D54" s="80" t="s">
        <v>277</v>
      </c>
      <c r="E54" s="101">
        <f t="shared" si="0"/>
        <v>0.9427287640364086</v>
      </c>
      <c r="F54" s="65"/>
      <c r="Q54" s="141" t="s">
        <v>322</v>
      </c>
      <c r="R54" s="142">
        <v>0.64890043729006908</v>
      </c>
      <c r="S54" s="143" t="s">
        <v>371</v>
      </c>
      <c r="W54" s="83" t="s">
        <v>52</v>
      </c>
      <c r="X54" s="110" t="s">
        <v>16</v>
      </c>
      <c r="Y54" s="110">
        <v>15</v>
      </c>
      <c r="Z54" s="110" t="s">
        <v>280</v>
      </c>
      <c r="AA54" s="114">
        <v>0.7469877361024081</v>
      </c>
    </row>
    <row r="55" spans="1:27" ht="13.8" x14ac:dyDescent="0.3">
      <c r="A55" s="79" t="s">
        <v>48</v>
      </c>
      <c r="B55" s="80" t="s">
        <v>49</v>
      </c>
      <c r="C55" s="80">
        <v>13</v>
      </c>
      <c r="D55" s="80" t="s">
        <v>279</v>
      </c>
      <c r="E55" s="101">
        <f t="shared" si="0"/>
        <v>0.70643925978729205</v>
      </c>
      <c r="F55" s="65"/>
      <c r="Q55" s="141" t="s">
        <v>323</v>
      </c>
      <c r="R55" s="142">
        <v>1</v>
      </c>
      <c r="S55" s="141" t="s">
        <v>370</v>
      </c>
      <c r="W55" s="83" t="s">
        <v>29</v>
      </c>
      <c r="X55" s="110" t="s">
        <v>28</v>
      </c>
      <c r="Y55" s="110">
        <v>14</v>
      </c>
      <c r="Z55" s="110" t="s">
        <v>285</v>
      </c>
      <c r="AA55" s="114">
        <v>0.72270267536539723</v>
      </c>
    </row>
    <row r="56" spans="1:27" ht="13.8" x14ac:dyDescent="0.3">
      <c r="A56" s="79" t="s">
        <v>60</v>
      </c>
      <c r="B56" s="80" t="s">
        <v>49</v>
      </c>
      <c r="C56" s="80">
        <v>13</v>
      </c>
      <c r="D56" s="80" t="s">
        <v>283</v>
      </c>
      <c r="E56" s="101">
        <f t="shared" si="0"/>
        <v>0.90135028841111697</v>
      </c>
      <c r="F56" s="65"/>
      <c r="Q56" s="141" t="s">
        <v>324</v>
      </c>
      <c r="R56" s="142">
        <v>0.42404692082111439</v>
      </c>
      <c r="S56" s="143" t="s">
        <v>86</v>
      </c>
      <c r="W56" s="83" t="s">
        <v>48</v>
      </c>
      <c r="X56" s="110" t="s">
        <v>49</v>
      </c>
      <c r="Y56" s="110">
        <v>13</v>
      </c>
      <c r="Z56" s="110" t="s">
        <v>279</v>
      </c>
      <c r="AA56" s="114">
        <v>0.70643925978729205</v>
      </c>
    </row>
    <row r="57" spans="1:27" ht="13.8" x14ac:dyDescent="0.3">
      <c r="A57" s="119" t="s">
        <v>259</v>
      </c>
      <c r="B57" s="110" t="s">
        <v>49</v>
      </c>
      <c r="C57" s="110">
        <v>13</v>
      </c>
      <c r="D57" s="110" t="s">
        <v>281</v>
      </c>
      <c r="E57" s="111">
        <f>VLOOKUP($D57,$Q$7:$R$75,2,0)</f>
        <v>0.27216238256230779</v>
      </c>
      <c r="F57" s="69"/>
      <c r="Q57" s="141" t="s">
        <v>325</v>
      </c>
      <c r="R57" s="142">
        <v>0.99417211067658851</v>
      </c>
      <c r="S57" s="141" t="s">
        <v>370</v>
      </c>
      <c r="W57" s="83" t="s">
        <v>51</v>
      </c>
      <c r="X57" s="110" t="s">
        <v>28</v>
      </c>
      <c r="Y57" s="110">
        <v>14</v>
      </c>
      <c r="Z57" s="110" t="s">
        <v>298</v>
      </c>
      <c r="AA57" s="114">
        <v>0.66983442164179108</v>
      </c>
    </row>
    <row r="58" spans="1:27" ht="13.8" x14ac:dyDescent="0.3">
      <c r="A58" s="79" t="s">
        <v>261</v>
      </c>
      <c r="B58" s="80" t="s">
        <v>49</v>
      </c>
      <c r="C58" s="80">
        <v>13</v>
      </c>
      <c r="D58" s="80" t="s">
        <v>185</v>
      </c>
      <c r="E58" s="101" t="s">
        <v>372</v>
      </c>
      <c r="F58" s="65"/>
      <c r="Q58" s="141" t="s">
        <v>326</v>
      </c>
      <c r="R58" s="142">
        <v>0.77327600463039525</v>
      </c>
      <c r="S58" s="143" t="s">
        <v>371</v>
      </c>
      <c r="W58" s="83" t="s">
        <v>253</v>
      </c>
      <c r="X58" s="110" t="s">
        <v>16</v>
      </c>
      <c r="Y58" s="110">
        <v>15</v>
      </c>
      <c r="Z58" s="110" t="s">
        <v>330</v>
      </c>
      <c r="AA58" s="114">
        <v>0.66731657086909912</v>
      </c>
    </row>
    <row r="59" spans="1:27" ht="13.8" x14ac:dyDescent="0.3">
      <c r="A59" s="79" t="s">
        <v>57</v>
      </c>
      <c r="B59" s="80" t="s">
        <v>49</v>
      </c>
      <c r="C59" s="80">
        <v>13</v>
      </c>
      <c r="D59" s="80" t="s">
        <v>295</v>
      </c>
      <c r="E59" s="101">
        <f t="shared" si="0"/>
        <v>0.78356336260978665</v>
      </c>
      <c r="F59" s="65"/>
      <c r="Q59" s="141" t="s">
        <v>327</v>
      </c>
      <c r="R59" s="142">
        <v>0.93000422702993502</v>
      </c>
      <c r="S59" s="141" t="s">
        <v>370</v>
      </c>
      <c r="W59" s="83" t="s">
        <v>23</v>
      </c>
      <c r="X59" s="110" t="s">
        <v>28</v>
      </c>
      <c r="Y59" s="110">
        <v>14</v>
      </c>
      <c r="Z59" s="110" t="s">
        <v>322</v>
      </c>
      <c r="AA59" s="114">
        <v>0.64890043729006908</v>
      </c>
    </row>
    <row r="60" spans="1:27" ht="13.8" x14ac:dyDescent="0.3">
      <c r="A60" s="79" t="s">
        <v>35</v>
      </c>
      <c r="B60" s="80" t="s">
        <v>49</v>
      </c>
      <c r="C60" s="80">
        <v>13</v>
      </c>
      <c r="D60" s="80" t="s">
        <v>292</v>
      </c>
      <c r="E60" s="101">
        <f t="shared" si="0"/>
        <v>1.0293089747728885</v>
      </c>
      <c r="F60" s="65"/>
      <c r="Q60" s="141" t="s">
        <v>328</v>
      </c>
      <c r="R60" s="142">
        <v>0.614337822671156</v>
      </c>
      <c r="S60" s="143" t="s">
        <v>371</v>
      </c>
      <c r="W60" s="83" t="s">
        <v>22</v>
      </c>
      <c r="X60" s="110" t="s">
        <v>49</v>
      </c>
      <c r="Y60" s="110">
        <v>13</v>
      </c>
      <c r="Z60" s="110" t="s">
        <v>316</v>
      </c>
      <c r="AA60" s="114">
        <v>0.63819230650865855</v>
      </c>
    </row>
    <row r="61" spans="1:27" ht="13.8" x14ac:dyDescent="0.3">
      <c r="A61" s="79" t="s">
        <v>58</v>
      </c>
      <c r="B61" s="80" t="s">
        <v>49</v>
      </c>
      <c r="C61" s="80">
        <v>13</v>
      </c>
      <c r="D61" s="80" t="s">
        <v>275</v>
      </c>
      <c r="E61" s="101">
        <f t="shared" si="0"/>
        <v>1</v>
      </c>
      <c r="F61" s="65"/>
      <c r="Q61" s="141" t="s">
        <v>329</v>
      </c>
      <c r="R61" s="142">
        <v>0.90975829351063098</v>
      </c>
      <c r="S61" s="141" t="s">
        <v>370</v>
      </c>
      <c r="W61" s="83" t="s">
        <v>67</v>
      </c>
      <c r="X61" s="110" t="s">
        <v>49</v>
      </c>
      <c r="Y61" s="110">
        <v>13</v>
      </c>
      <c r="Z61" s="110" t="s">
        <v>278</v>
      </c>
      <c r="AA61" s="114">
        <v>0.62875460562079877</v>
      </c>
    </row>
    <row r="62" spans="1:27" ht="13.8" x14ac:dyDescent="0.3">
      <c r="A62" s="79" t="s">
        <v>40</v>
      </c>
      <c r="B62" s="80" t="s">
        <v>49</v>
      </c>
      <c r="C62" s="80">
        <v>13</v>
      </c>
      <c r="D62" s="80" t="s">
        <v>310</v>
      </c>
      <c r="E62" s="101">
        <f t="shared" si="0"/>
        <v>0.58034319753835939</v>
      </c>
      <c r="F62" s="65"/>
      <c r="Q62" s="141" t="s">
        <v>330</v>
      </c>
      <c r="R62" s="142">
        <v>0.66731657086909912</v>
      </c>
      <c r="S62" s="143" t="s">
        <v>371</v>
      </c>
      <c r="W62" s="83" t="s">
        <v>25</v>
      </c>
      <c r="X62" s="110" t="s">
        <v>16</v>
      </c>
      <c r="Y62" s="110">
        <v>15</v>
      </c>
      <c r="Z62" s="110" t="s">
        <v>328</v>
      </c>
      <c r="AA62" s="114">
        <v>0.614337822671156</v>
      </c>
    </row>
    <row r="63" spans="1:27" ht="13.8" x14ac:dyDescent="0.3">
      <c r="A63" s="79" t="s">
        <v>22</v>
      </c>
      <c r="B63" s="80" t="s">
        <v>49</v>
      </c>
      <c r="C63" s="80">
        <v>13</v>
      </c>
      <c r="D63" s="80" t="s">
        <v>316</v>
      </c>
      <c r="E63" s="101">
        <f t="shared" si="0"/>
        <v>0.63819230650865855</v>
      </c>
      <c r="F63" s="65"/>
      <c r="Q63" s="141" t="s">
        <v>331</v>
      </c>
      <c r="R63" s="142">
        <v>0.9915841495030967</v>
      </c>
      <c r="S63" s="141" t="s">
        <v>370</v>
      </c>
      <c r="W63" s="83" t="s">
        <v>11</v>
      </c>
      <c r="X63" s="110" t="s">
        <v>28</v>
      </c>
      <c r="Y63" s="110">
        <v>14</v>
      </c>
      <c r="Z63" s="110" t="s">
        <v>297</v>
      </c>
      <c r="AA63" s="114">
        <v>0.60422936152907691</v>
      </c>
    </row>
    <row r="64" spans="1:27" ht="13.8" x14ac:dyDescent="0.3">
      <c r="A64" s="79" t="s">
        <v>41</v>
      </c>
      <c r="B64" s="80" t="s">
        <v>49</v>
      </c>
      <c r="C64" s="80">
        <v>13</v>
      </c>
      <c r="D64" s="80" t="s">
        <v>321</v>
      </c>
      <c r="E64" s="101">
        <f t="shared" si="0"/>
        <v>0.97501693766937669</v>
      </c>
      <c r="F64" s="65"/>
      <c r="Q64" s="141" t="s">
        <v>332</v>
      </c>
      <c r="R64" s="142">
        <v>0.97028603165787286</v>
      </c>
      <c r="S64" s="141" t="s">
        <v>370</v>
      </c>
      <c r="W64" s="83" t="s">
        <v>18</v>
      </c>
      <c r="X64" s="110" t="s">
        <v>10</v>
      </c>
      <c r="Y64" s="110">
        <v>16</v>
      </c>
      <c r="Z64" s="110" t="s">
        <v>86</v>
      </c>
      <c r="AA64" s="114">
        <v>0.58142655748172922</v>
      </c>
    </row>
    <row r="65" spans="1:27" ht="13.8" x14ac:dyDescent="0.3">
      <c r="A65" s="79" t="s">
        <v>59</v>
      </c>
      <c r="B65" s="80" t="s">
        <v>49</v>
      </c>
      <c r="C65" s="80">
        <v>13</v>
      </c>
      <c r="D65" s="80" t="s">
        <v>336</v>
      </c>
      <c r="E65" s="101">
        <f t="shared" si="0"/>
        <v>1</v>
      </c>
      <c r="F65" s="65"/>
      <c r="Q65" s="141" t="s">
        <v>333</v>
      </c>
      <c r="R65" s="142">
        <v>0.98634859349145065</v>
      </c>
      <c r="S65" s="141" t="s">
        <v>370</v>
      </c>
      <c r="W65" s="83" t="s">
        <v>40</v>
      </c>
      <c r="X65" s="110" t="s">
        <v>49</v>
      </c>
      <c r="Y65" s="110">
        <v>13</v>
      </c>
      <c r="Z65" s="110" t="s">
        <v>310</v>
      </c>
      <c r="AA65" s="114">
        <v>0.58034319753835939</v>
      </c>
    </row>
    <row r="66" spans="1:27" ht="13.8" x14ac:dyDescent="0.3">
      <c r="A66" s="81" t="s">
        <v>54</v>
      </c>
      <c r="B66" s="82" t="s">
        <v>56</v>
      </c>
      <c r="C66" s="82">
        <v>12</v>
      </c>
      <c r="D66" s="82" t="s">
        <v>325</v>
      </c>
      <c r="E66" s="102">
        <f t="shared" si="0"/>
        <v>0.99417211067658851</v>
      </c>
      <c r="F66" s="69"/>
      <c r="Q66" s="141" t="s">
        <v>334</v>
      </c>
      <c r="R66" s="142">
        <v>0.96644084643352246</v>
      </c>
      <c r="S66" s="141" t="s">
        <v>370</v>
      </c>
      <c r="W66" s="83" t="s">
        <v>45</v>
      </c>
      <c r="X66" s="110" t="s">
        <v>28</v>
      </c>
      <c r="Y66" s="110">
        <v>14</v>
      </c>
      <c r="Z66" s="110" t="s">
        <v>318</v>
      </c>
      <c r="AA66" s="114">
        <v>0.57546119039331711</v>
      </c>
    </row>
    <row r="67" spans="1:27" ht="13.8" x14ac:dyDescent="0.3">
      <c r="A67" s="79" t="s">
        <v>265</v>
      </c>
      <c r="B67" s="80" t="s">
        <v>61</v>
      </c>
      <c r="C67" s="80">
        <v>11</v>
      </c>
      <c r="D67" s="80" t="s">
        <v>313</v>
      </c>
      <c r="E67" s="101">
        <f t="shared" si="0"/>
        <v>0.99872589064335693</v>
      </c>
      <c r="F67" s="69"/>
      <c r="Q67" s="141" t="s">
        <v>335</v>
      </c>
      <c r="R67" s="142">
        <v>0.84932154135723226</v>
      </c>
      <c r="S67" s="141" t="s">
        <v>370</v>
      </c>
      <c r="W67" s="83" t="s">
        <v>4</v>
      </c>
      <c r="X67" s="110" t="s">
        <v>2</v>
      </c>
      <c r="Y67" s="110">
        <v>17</v>
      </c>
      <c r="Z67" s="110" t="s">
        <v>368</v>
      </c>
      <c r="AA67" s="114">
        <v>0.55330389203021169</v>
      </c>
    </row>
    <row r="68" spans="1:27" ht="13.8" x14ac:dyDescent="0.3">
      <c r="A68" s="79" t="s">
        <v>42</v>
      </c>
      <c r="B68" s="80" t="s">
        <v>65</v>
      </c>
      <c r="C68" s="80">
        <v>10</v>
      </c>
      <c r="D68" s="80" t="s">
        <v>320</v>
      </c>
      <c r="E68" s="101">
        <f t="shared" si="0"/>
        <v>0.89259170051200387</v>
      </c>
      <c r="F68" s="69"/>
      <c r="G68" s="66"/>
      <c r="Q68" s="141" t="s">
        <v>336</v>
      </c>
      <c r="R68" s="142">
        <v>1</v>
      </c>
      <c r="S68" s="141" t="s">
        <v>370</v>
      </c>
      <c r="W68" s="83" t="s">
        <v>39</v>
      </c>
      <c r="X68" s="110" t="s">
        <v>28</v>
      </c>
      <c r="Y68" s="110">
        <v>14</v>
      </c>
      <c r="Z68" s="110" t="s">
        <v>301</v>
      </c>
      <c r="AA68" s="114">
        <v>0.44575810739314115</v>
      </c>
    </row>
    <row r="69" spans="1:27" ht="14.4" thickBot="1" x14ac:dyDescent="0.35">
      <c r="A69" s="137" t="s">
        <v>248</v>
      </c>
      <c r="B69" s="138" t="s">
        <v>71</v>
      </c>
      <c r="C69" s="138">
        <v>7</v>
      </c>
      <c r="D69" s="138" t="s">
        <v>294</v>
      </c>
      <c r="E69" s="139">
        <f t="shared" ref="E69:E75" si="5">VLOOKUP($D69,$Q$7:$R$75,2,0)</f>
        <v>0.27230062686467099</v>
      </c>
      <c r="F69" s="69"/>
      <c r="Q69" s="141" t="s">
        <v>337</v>
      </c>
      <c r="R69" s="142">
        <v>0.94699999999999995</v>
      </c>
      <c r="S69" s="141" t="s">
        <v>370</v>
      </c>
      <c r="W69" s="83" t="s">
        <v>43</v>
      </c>
      <c r="X69" s="110" t="s">
        <v>28</v>
      </c>
      <c r="Y69" s="110">
        <v>14</v>
      </c>
      <c r="Z69" s="110" t="s">
        <v>324</v>
      </c>
      <c r="AA69" s="114">
        <v>0.42404692082111439</v>
      </c>
    </row>
    <row r="70" spans="1:27" ht="13.8" x14ac:dyDescent="0.3">
      <c r="A70" s="79" t="s">
        <v>262</v>
      </c>
      <c r="B70" s="80" t="s">
        <v>108</v>
      </c>
      <c r="C70" s="80">
        <v>19</v>
      </c>
      <c r="D70" s="80" t="s">
        <v>309</v>
      </c>
      <c r="E70" s="101">
        <f>VLOOKUP($D70,$Q$7:$R$75,2,0)</f>
        <v>0.77794419936265724</v>
      </c>
      <c r="F70" s="69"/>
      <c r="G70" s="66"/>
      <c r="Q70" s="99"/>
      <c r="R70" s="98"/>
      <c r="S70" s="97"/>
      <c r="W70" s="83" t="s">
        <v>12</v>
      </c>
      <c r="X70" s="110" t="s">
        <v>16</v>
      </c>
      <c r="Y70" s="110">
        <v>15</v>
      </c>
      <c r="Z70" s="110" t="s">
        <v>308</v>
      </c>
      <c r="AA70" s="114">
        <v>0.36017814864816144</v>
      </c>
    </row>
    <row r="71" spans="1:27" ht="13.8" x14ac:dyDescent="0.3">
      <c r="A71" s="79" t="s">
        <v>263</v>
      </c>
      <c r="B71" s="80" t="s">
        <v>2</v>
      </c>
      <c r="C71" s="80">
        <v>17</v>
      </c>
      <c r="D71" s="80" t="s">
        <v>282</v>
      </c>
      <c r="E71" s="101">
        <f>VLOOKUP($D71,$Q$7:$R$75,2,0)</f>
        <v>0.87497195036407094</v>
      </c>
      <c r="F71" s="65"/>
      <c r="Q71" s="99"/>
      <c r="R71" s="98"/>
      <c r="S71" s="97"/>
      <c r="W71" s="83" t="s">
        <v>248</v>
      </c>
      <c r="X71" s="110" t="s">
        <v>71</v>
      </c>
      <c r="Y71" s="110">
        <v>7</v>
      </c>
      <c r="Z71" s="110" t="s">
        <v>294</v>
      </c>
      <c r="AA71" s="114">
        <v>0.27230062686467099</v>
      </c>
    </row>
    <row r="72" spans="1:27" ht="13.8" x14ac:dyDescent="0.3">
      <c r="A72" s="83" t="s">
        <v>264</v>
      </c>
      <c r="B72" s="110" t="s">
        <v>56</v>
      </c>
      <c r="C72" s="110">
        <v>12</v>
      </c>
      <c r="D72" s="110" t="s">
        <v>332</v>
      </c>
      <c r="E72" s="111">
        <f>VLOOKUP($D72,$Q$7:$R$75,2,0)</f>
        <v>0.97028603165787286</v>
      </c>
      <c r="F72" s="69"/>
      <c r="Q72" s="99"/>
      <c r="R72" s="98"/>
      <c r="S72" s="97"/>
      <c r="W72" s="83" t="s">
        <v>259</v>
      </c>
      <c r="X72" s="110" t="s">
        <v>49</v>
      </c>
      <c r="Y72" s="110">
        <v>13</v>
      </c>
      <c r="Z72" s="110" t="s">
        <v>281</v>
      </c>
      <c r="AA72" s="114">
        <v>0.27216238256230779</v>
      </c>
    </row>
    <row r="73" spans="1:27" ht="13.8" x14ac:dyDescent="0.3">
      <c r="A73" s="130" t="s">
        <v>50</v>
      </c>
      <c r="B73" s="84" t="s">
        <v>372</v>
      </c>
      <c r="C73" s="84"/>
      <c r="D73" s="110" t="s">
        <v>286</v>
      </c>
      <c r="E73" s="111">
        <f>VLOOKUP($D73,$Q$7:$R$75,2,0)</f>
        <v>0.99675869094774683</v>
      </c>
      <c r="F73" s="12"/>
      <c r="Q73" s="99"/>
      <c r="R73" s="98"/>
      <c r="S73" s="97"/>
      <c r="W73" s="83" t="s">
        <v>50</v>
      </c>
      <c r="X73" s="84" t="s">
        <v>372</v>
      </c>
      <c r="Y73" s="84"/>
      <c r="Z73" s="110" t="s">
        <v>286</v>
      </c>
      <c r="AA73" s="114">
        <v>0.99675869094774683</v>
      </c>
    </row>
    <row r="74" spans="1:27" ht="13.8" x14ac:dyDescent="0.3">
      <c r="A74" s="79" t="s">
        <v>72</v>
      </c>
      <c r="B74" s="84" t="s">
        <v>372</v>
      </c>
      <c r="C74" s="84"/>
      <c r="D74" s="84" t="s">
        <v>307</v>
      </c>
      <c r="E74" s="103">
        <f t="shared" si="5"/>
        <v>0.98237685298627964</v>
      </c>
      <c r="F74" s="9"/>
      <c r="Q74" s="99"/>
      <c r="R74" s="98"/>
      <c r="S74" s="97"/>
      <c r="W74" s="83" t="s">
        <v>72</v>
      </c>
      <c r="X74" s="84" t="s">
        <v>372</v>
      </c>
      <c r="Y74" s="84"/>
      <c r="Z74" s="84" t="s">
        <v>307</v>
      </c>
      <c r="AA74" s="115">
        <v>0.98237685298627964</v>
      </c>
    </row>
    <row r="75" spans="1:27" ht="14.4" thickBot="1" x14ac:dyDescent="0.35">
      <c r="A75" s="91" t="s">
        <v>76</v>
      </c>
      <c r="B75" s="92" t="s">
        <v>372</v>
      </c>
      <c r="C75" s="92"/>
      <c r="D75" s="92" t="s">
        <v>333</v>
      </c>
      <c r="E75" s="104">
        <f t="shared" si="5"/>
        <v>0.98634859349145065</v>
      </c>
      <c r="F75" s="9"/>
      <c r="Q75" s="99"/>
      <c r="R75" s="98"/>
      <c r="S75" s="97"/>
      <c r="W75" s="112" t="s">
        <v>76</v>
      </c>
      <c r="X75" s="92" t="s">
        <v>372</v>
      </c>
      <c r="Y75" s="92"/>
      <c r="Z75" s="92" t="s">
        <v>333</v>
      </c>
      <c r="AA75" s="116">
        <v>0.98634859349145065</v>
      </c>
    </row>
    <row r="76" spans="1:27" ht="13.8" x14ac:dyDescent="0.3">
      <c r="A76" s="76" t="s">
        <v>135</v>
      </c>
      <c r="B76" s="78" t="s">
        <v>28</v>
      </c>
      <c r="C76" s="77">
        <f>AVERAGE(C7:C69)</f>
        <v>14.174603174603174</v>
      </c>
      <c r="D76" s="77"/>
      <c r="E76" s="77"/>
      <c r="F76" s="9"/>
      <c r="Q76" s="99"/>
      <c r="R76" s="100"/>
      <c r="S76" s="99"/>
    </row>
    <row r="77" spans="1:27" x14ac:dyDescent="0.25">
      <c r="A77" s="7"/>
      <c r="B77" s="5"/>
      <c r="F77" s="14"/>
    </row>
    <row r="78" spans="1:27" x14ac:dyDescent="0.25">
      <c r="A78" s="7"/>
      <c r="B78" s="5"/>
      <c r="F78" s="14"/>
    </row>
    <row r="79" spans="1:27" x14ac:dyDescent="0.25">
      <c r="A79" s="85" t="s">
        <v>266</v>
      </c>
      <c r="F79" s="14"/>
      <c r="G79" s="133"/>
    </row>
    <row r="80" spans="1:27" s="133" customFormat="1" x14ac:dyDescent="0.25">
      <c r="A80" s="85" t="s">
        <v>365</v>
      </c>
      <c r="C80" s="134"/>
      <c r="D80" s="134"/>
      <c r="E80" s="134"/>
      <c r="F80" s="135"/>
      <c r="AA80" s="136"/>
    </row>
    <row r="81" spans="1:27" s="133" customFormat="1" x14ac:dyDescent="0.25">
      <c r="A81" s="132" t="s">
        <v>355</v>
      </c>
      <c r="C81" s="134"/>
      <c r="D81" s="134"/>
      <c r="E81" s="134"/>
      <c r="F81" s="135"/>
      <c r="AA81" s="136"/>
    </row>
    <row r="82" spans="1:27" s="133" customFormat="1" x14ac:dyDescent="0.25">
      <c r="A82" s="132" t="s">
        <v>356</v>
      </c>
      <c r="C82" s="134"/>
      <c r="D82" s="134"/>
      <c r="E82" s="134"/>
      <c r="F82" s="135"/>
      <c r="G82" s="1"/>
      <c r="AA82" s="136"/>
    </row>
    <row r="83" spans="1:27" x14ac:dyDescent="0.25">
      <c r="A83" s="132" t="s">
        <v>357</v>
      </c>
      <c r="D83" s="14"/>
      <c r="E83" s="1"/>
      <c r="AA83" s="1"/>
    </row>
    <row r="84" spans="1:27" x14ac:dyDescent="0.25">
      <c r="A84" s="85" t="s">
        <v>358</v>
      </c>
      <c r="D84" s="14"/>
      <c r="E84" s="1"/>
      <c r="AA84" s="1"/>
    </row>
    <row r="85" spans="1:27" x14ac:dyDescent="0.25">
      <c r="A85" s="85" t="s">
        <v>363</v>
      </c>
      <c r="D85" s="14"/>
      <c r="E85" s="1"/>
      <c r="AA85" s="1"/>
    </row>
    <row r="86" spans="1:27" x14ac:dyDescent="0.25">
      <c r="A86" s="85" t="s">
        <v>364</v>
      </c>
      <c r="F86" s="14"/>
    </row>
    <row r="87" spans="1:27" x14ac:dyDescent="0.25">
      <c r="A87" s="33"/>
      <c r="E87" s="120"/>
    </row>
    <row r="88" spans="1:27" x14ac:dyDescent="0.25">
      <c r="E88" s="120"/>
    </row>
    <row r="89" spans="1:27" x14ac:dyDescent="0.25">
      <c r="E89" s="121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23">
    <tabColor rgb="FF0070C0"/>
    <pageSetUpPr fitToPage="1"/>
  </sheetPr>
  <dimension ref="A1:M83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345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347</v>
      </c>
      <c r="C6" s="20"/>
    </row>
    <row r="7" spans="1:13" ht="14.4" thickBot="1" x14ac:dyDescent="0.35">
      <c r="A7" s="79" t="s">
        <v>6</v>
      </c>
      <c r="B7" s="80" t="s">
        <v>110</v>
      </c>
      <c r="C7" s="8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79" t="s">
        <v>263</v>
      </c>
      <c r="B8" s="80" t="s">
        <v>2</v>
      </c>
      <c r="C8" s="80">
        <v>17</v>
      </c>
      <c r="D8" s="65"/>
      <c r="E8" s="72" t="s">
        <v>138</v>
      </c>
      <c r="F8" s="86">
        <f>COUNTIF(C$7:C$75,"&gt;16")</f>
        <v>4</v>
      </c>
      <c r="G8" s="87">
        <f>F8/F$14</f>
        <v>6.1538461538461542E-2</v>
      </c>
      <c r="I8" s="66"/>
      <c r="K8" s="66"/>
      <c r="L8" s="66"/>
      <c r="M8" s="67"/>
    </row>
    <row r="9" spans="1:13" ht="13.8" x14ac:dyDescent="0.3">
      <c r="A9" s="79" t="s">
        <v>4</v>
      </c>
      <c r="B9" s="80" t="s">
        <v>2</v>
      </c>
      <c r="C9" s="80">
        <v>17</v>
      </c>
      <c r="D9" s="65"/>
      <c r="E9" s="72" t="s">
        <v>10</v>
      </c>
      <c r="F9" s="86">
        <f>COUNTIF(C$7:C$75,"=16")</f>
        <v>9</v>
      </c>
      <c r="G9" s="87">
        <f t="shared" ref="G9:G14" si="0">F9/F$14</f>
        <v>0.13846153846153847</v>
      </c>
      <c r="I9" s="66"/>
      <c r="K9" s="66"/>
      <c r="L9" s="66"/>
      <c r="M9" s="67"/>
    </row>
    <row r="10" spans="1:13" ht="13.8" x14ac:dyDescent="0.3">
      <c r="A10" s="79" t="s">
        <v>7</v>
      </c>
      <c r="B10" s="80" t="s">
        <v>2</v>
      </c>
      <c r="C10" s="80">
        <v>17</v>
      </c>
      <c r="D10" s="65"/>
      <c r="E10" s="72" t="s">
        <v>16</v>
      </c>
      <c r="F10" s="86">
        <f>COUNTIF(C$7:C$75,"=15")</f>
        <v>13</v>
      </c>
      <c r="G10" s="87">
        <f t="shared" si="0"/>
        <v>0.2</v>
      </c>
      <c r="I10" s="66"/>
      <c r="K10" s="66"/>
      <c r="L10" s="66"/>
      <c r="M10" s="67"/>
    </row>
    <row r="11" spans="1:13" ht="13.8" x14ac:dyDescent="0.3">
      <c r="A11" s="81" t="s">
        <v>3</v>
      </c>
      <c r="B11" s="82" t="s">
        <v>10</v>
      </c>
      <c r="C11" s="82">
        <v>16</v>
      </c>
      <c r="D11" s="65"/>
      <c r="E11" s="72" t="s">
        <v>28</v>
      </c>
      <c r="F11" s="86">
        <f>COUNTIF(C$7:C$75,"=14")</f>
        <v>19</v>
      </c>
      <c r="G11" s="87">
        <f t="shared" si="0"/>
        <v>0.29230769230769232</v>
      </c>
      <c r="I11" s="67"/>
      <c r="J11" s="4"/>
      <c r="K11" s="67"/>
      <c r="L11" s="67"/>
      <c r="M11" s="67"/>
    </row>
    <row r="12" spans="1:13" ht="13.8" x14ac:dyDescent="0.3">
      <c r="A12" s="81" t="s">
        <v>18</v>
      </c>
      <c r="B12" s="82" t="s">
        <v>10</v>
      </c>
      <c r="C12" s="82">
        <v>16</v>
      </c>
      <c r="D12" s="65"/>
      <c r="E12" s="72" t="s">
        <v>49</v>
      </c>
      <c r="F12" s="86">
        <f>COUNTIF(C$7:C$75,"=13")</f>
        <v>14</v>
      </c>
      <c r="G12" s="87">
        <f t="shared" si="0"/>
        <v>0.2153846153846154</v>
      </c>
    </row>
    <row r="13" spans="1:13" ht="14.4" thickBot="1" x14ac:dyDescent="0.35">
      <c r="A13" s="81" t="s">
        <v>32</v>
      </c>
      <c r="B13" s="82" t="s">
        <v>10</v>
      </c>
      <c r="C13" s="82">
        <v>16</v>
      </c>
      <c r="D13" s="65"/>
      <c r="E13" s="93" t="s">
        <v>79</v>
      </c>
      <c r="F13" s="94">
        <f>COUNTIF(C$7:C$75,"&lt;13")</f>
        <v>6</v>
      </c>
      <c r="G13" s="95">
        <f t="shared" si="0"/>
        <v>9.2307692307692313E-2</v>
      </c>
    </row>
    <row r="14" spans="1:13" ht="13.8" x14ac:dyDescent="0.3">
      <c r="A14" s="81" t="s">
        <v>253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65</v>
      </c>
      <c r="G14" s="90">
        <f t="shared" si="0"/>
        <v>1</v>
      </c>
    </row>
    <row r="15" spans="1:13" ht="13.8" x14ac:dyDescent="0.3">
      <c r="A15" s="81" t="s">
        <v>87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52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19</v>
      </c>
      <c r="B22" s="110" t="s">
        <v>16</v>
      </c>
      <c r="C22" s="110">
        <v>15</v>
      </c>
      <c r="D22" s="65"/>
    </row>
    <row r="23" spans="1:12" ht="13.8" x14ac:dyDescent="0.3">
      <c r="A23" s="83" t="s">
        <v>254</v>
      </c>
      <c r="B23" s="110" t="s">
        <v>16</v>
      </c>
      <c r="C23" s="110">
        <v>15</v>
      </c>
      <c r="D23" s="65"/>
    </row>
    <row r="24" spans="1:12" ht="13.8" x14ac:dyDescent="0.3">
      <c r="A24" s="83" t="s">
        <v>255</v>
      </c>
      <c r="B24" s="110" t="s">
        <v>16</v>
      </c>
      <c r="C24" s="110">
        <v>15</v>
      </c>
      <c r="D24" s="65"/>
    </row>
    <row r="25" spans="1:12" ht="13.8" x14ac:dyDescent="0.3">
      <c r="A25" s="83" t="s">
        <v>12</v>
      </c>
      <c r="B25" s="110" t="s">
        <v>16</v>
      </c>
      <c r="C25" s="110">
        <v>15</v>
      </c>
      <c r="D25" s="65"/>
    </row>
    <row r="26" spans="1:12" ht="13.8" x14ac:dyDescent="0.3">
      <c r="A26" s="83" t="s">
        <v>21</v>
      </c>
      <c r="B26" s="110" t="s">
        <v>16</v>
      </c>
      <c r="C26" s="110">
        <v>15</v>
      </c>
      <c r="D26" s="65"/>
    </row>
    <row r="27" spans="1:12" ht="13.8" x14ac:dyDescent="0.3">
      <c r="A27" s="83" t="s">
        <v>340</v>
      </c>
      <c r="B27" s="110" t="s">
        <v>16</v>
      </c>
      <c r="C27" s="110">
        <v>15</v>
      </c>
      <c r="D27" s="65"/>
    </row>
    <row r="28" spans="1:12" ht="13.8" x14ac:dyDescent="0.3">
      <c r="A28" s="83" t="s">
        <v>24</v>
      </c>
      <c r="B28" s="110" t="s">
        <v>16</v>
      </c>
      <c r="C28" s="110">
        <v>15</v>
      </c>
      <c r="D28" s="65"/>
    </row>
    <row r="29" spans="1:12" ht="13.8" x14ac:dyDescent="0.3">
      <c r="A29" s="83" t="s">
        <v>256</v>
      </c>
      <c r="B29" s="110" t="s">
        <v>16</v>
      </c>
      <c r="C29" s="110">
        <v>15</v>
      </c>
      <c r="D29" s="69"/>
    </row>
    <row r="30" spans="1:12" ht="13.8" x14ac:dyDescent="0.3">
      <c r="A30" s="83" t="s">
        <v>25</v>
      </c>
      <c r="B30" s="110" t="s">
        <v>16</v>
      </c>
      <c r="C30" s="110">
        <v>15</v>
      </c>
      <c r="D30" s="65"/>
    </row>
    <row r="31" spans="1:12" ht="13.8" x14ac:dyDescent="0.3">
      <c r="A31" s="83" t="s">
        <v>26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257</v>
      </c>
      <c r="B32" s="110" t="s">
        <v>16</v>
      </c>
      <c r="C32" s="110">
        <v>15</v>
      </c>
      <c r="D32" s="65"/>
      <c r="J32" s="66"/>
    </row>
    <row r="33" spans="1:10" ht="13.8" x14ac:dyDescent="0.3">
      <c r="A33" s="81" t="s">
        <v>258</v>
      </c>
      <c r="B33" s="82" t="s">
        <v>28</v>
      </c>
      <c r="C33" s="82">
        <v>14</v>
      </c>
      <c r="D33" s="65"/>
      <c r="J33" s="66"/>
    </row>
    <row r="34" spans="1:10" ht="13.8" x14ac:dyDescent="0.3">
      <c r="A34" s="81" t="s">
        <v>29</v>
      </c>
      <c r="B34" s="82" t="s">
        <v>28</v>
      </c>
      <c r="C34" s="82">
        <v>14</v>
      </c>
      <c r="D34" s="65"/>
      <c r="F34" s="4"/>
      <c r="G34" s="4"/>
      <c r="J34" s="66"/>
    </row>
    <row r="35" spans="1:10" ht="13.8" x14ac:dyDescent="0.3">
      <c r="A35" s="81" t="s">
        <v>30</v>
      </c>
      <c r="B35" s="82" t="s">
        <v>28</v>
      </c>
      <c r="C35" s="82">
        <v>14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1" t="s">
        <v>259</v>
      </c>
      <c r="B36" s="82" t="s">
        <v>28</v>
      </c>
      <c r="C36" s="82">
        <v>14</v>
      </c>
      <c r="D36" s="65"/>
      <c r="F36" s="11"/>
      <c r="G36" s="11"/>
      <c r="H36" s="4"/>
      <c r="J36" s="67"/>
    </row>
    <row r="37" spans="1:10" ht="13.8" x14ac:dyDescent="0.3">
      <c r="A37" s="81" t="s">
        <v>64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31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34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36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11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51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260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38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39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20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512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66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55</v>
      </c>
      <c r="B54" s="110" t="s">
        <v>49</v>
      </c>
      <c r="C54" s="110">
        <v>13</v>
      </c>
      <c r="D54" s="65"/>
    </row>
    <row r="55" spans="1:8" ht="13.8" x14ac:dyDescent="0.3">
      <c r="A55" s="83" t="s">
        <v>48</v>
      </c>
      <c r="B55" s="110" t="s">
        <v>49</v>
      </c>
      <c r="C55" s="110">
        <v>13</v>
      </c>
      <c r="D55" s="65"/>
    </row>
    <row r="56" spans="1:8" ht="13.8" x14ac:dyDescent="0.3">
      <c r="A56" s="83" t="s">
        <v>60</v>
      </c>
      <c r="B56" s="110" t="s">
        <v>49</v>
      </c>
      <c r="C56" s="110">
        <v>13</v>
      </c>
      <c r="D56" s="65"/>
    </row>
    <row r="57" spans="1:8" ht="13.8" x14ac:dyDescent="0.3">
      <c r="A57" s="83" t="s">
        <v>261</v>
      </c>
      <c r="B57" s="110" t="s">
        <v>49</v>
      </c>
      <c r="C57" s="110">
        <v>13</v>
      </c>
      <c r="D57" s="69"/>
    </row>
    <row r="58" spans="1:8" ht="13.8" x14ac:dyDescent="0.3">
      <c r="A58" s="83" t="s">
        <v>57</v>
      </c>
      <c r="B58" s="110" t="s">
        <v>49</v>
      </c>
      <c r="C58" s="110">
        <v>13</v>
      </c>
      <c r="D58" s="65"/>
    </row>
    <row r="59" spans="1:8" ht="13.8" x14ac:dyDescent="0.3">
      <c r="A59" s="83" t="s">
        <v>35</v>
      </c>
      <c r="B59" s="110" t="s">
        <v>49</v>
      </c>
      <c r="C59" s="110">
        <v>13</v>
      </c>
      <c r="D59" s="65"/>
    </row>
    <row r="60" spans="1:8" ht="13.8" x14ac:dyDescent="0.3">
      <c r="A60" s="83" t="s">
        <v>40</v>
      </c>
      <c r="B60" s="110" t="s">
        <v>49</v>
      </c>
      <c r="C60" s="110">
        <v>13</v>
      </c>
      <c r="D60" s="65"/>
    </row>
    <row r="61" spans="1:8" ht="13.8" x14ac:dyDescent="0.3">
      <c r="A61" s="83" t="s">
        <v>22</v>
      </c>
      <c r="B61" s="110" t="s">
        <v>49</v>
      </c>
      <c r="C61" s="110">
        <v>13</v>
      </c>
      <c r="D61" s="65"/>
    </row>
    <row r="62" spans="1:8" ht="13.8" x14ac:dyDescent="0.3">
      <c r="A62" s="83" t="s">
        <v>41</v>
      </c>
      <c r="B62" s="110" t="s">
        <v>49</v>
      </c>
      <c r="C62" s="110">
        <v>13</v>
      </c>
      <c r="D62" s="65"/>
    </row>
    <row r="63" spans="1:8" ht="13.8" x14ac:dyDescent="0.3">
      <c r="A63" s="83" t="s">
        <v>54</v>
      </c>
      <c r="B63" s="110" t="s">
        <v>49</v>
      </c>
      <c r="C63" s="110">
        <v>13</v>
      </c>
      <c r="D63" s="65"/>
    </row>
    <row r="64" spans="1:8" ht="13.8" x14ac:dyDescent="0.3">
      <c r="A64" s="83" t="s">
        <v>62</v>
      </c>
      <c r="B64" s="110" t="s">
        <v>49</v>
      </c>
      <c r="C64" s="110">
        <v>13</v>
      </c>
      <c r="D64" s="65"/>
    </row>
    <row r="65" spans="1:5" ht="13.8" x14ac:dyDescent="0.3">
      <c r="A65" s="83" t="s">
        <v>59</v>
      </c>
      <c r="B65" s="110" t="s">
        <v>49</v>
      </c>
      <c r="C65" s="110">
        <v>13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264</v>
      </c>
      <c r="B68" s="82" t="s">
        <v>56</v>
      </c>
      <c r="C68" s="82">
        <v>12</v>
      </c>
      <c r="D68" s="69"/>
    </row>
    <row r="69" spans="1:5" ht="13.8" x14ac:dyDescent="0.3">
      <c r="A69" s="83" t="s">
        <v>69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42</v>
      </c>
      <c r="B70" s="110" t="s">
        <v>65</v>
      </c>
      <c r="C70" s="110">
        <v>10</v>
      </c>
      <c r="D70" s="69"/>
    </row>
    <row r="71" spans="1:5" ht="13.8" x14ac:dyDescent="0.3">
      <c r="A71" s="83" t="s">
        <v>248</v>
      </c>
      <c r="B71" s="110" t="s">
        <v>71</v>
      </c>
      <c r="C71" s="110">
        <v>7</v>
      </c>
      <c r="D71" s="65"/>
      <c r="E71" s="66"/>
    </row>
    <row r="72" spans="1:5" ht="13.8" x14ac:dyDescent="0.3">
      <c r="A72" s="83" t="s">
        <v>72</v>
      </c>
      <c r="B72" s="84" t="s">
        <v>136</v>
      </c>
      <c r="C72" s="84"/>
      <c r="D72" s="69"/>
    </row>
    <row r="73" spans="1:5" ht="13.8" x14ac:dyDescent="0.3">
      <c r="A73" s="83" t="s">
        <v>74</v>
      </c>
      <c r="B73" s="84" t="s">
        <v>136</v>
      </c>
      <c r="C73" s="84"/>
      <c r="D73" s="12"/>
    </row>
    <row r="74" spans="1:5" ht="13.8" x14ac:dyDescent="0.3">
      <c r="A74" s="83" t="s">
        <v>75</v>
      </c>
      <c r="B74" s="84" t="s">
        <v>136</v>
      </c>
      <c r="C74" s="84"/>
      <c r="D74" s="9"/>
    </row>
    <row r="75" spans="1:5" ht="14.4" thickBot="1" x14ac:dyDescent="0.35">
      <c r="A75" s="112" t="s">
        <v>76</v>
      </c>
      <c r="B75" s="92" t="s">
        <v>136</v>
      </c>
      <c r="C75" s="92"/>
      <c r="D75" s="9"/>
    </row>
    <row r="76" spans="1:5" ht="13.8" x14ac:dyDescent="0.3">
      <c r="A76" s="76" t="s">
        <v>135</v>
      </c>
      <c r="B76" s="78" t="s">
        <v>28</v>
      </c>
      <c r="C76" s="77">
        <f>AVERAGE(C7:C71)</f>
        <v>14.153846153846153</v>
      </c>
      <c r="D76" s="9"/>
    </row>
    <row r="77" spans="1:5" x14ac:dyDescent="0.25">
      <c r="A77" s="7"/>
      <c r="B77" s="5"/>
      <c r="D77" s="14"/>
    </row>
    <row r="78" spans="1:5" x14ac:dyDescent="0.25">
      <c r="A78" s="7"/>
      <c r="B78" s="5"/>
      <c r="D78" s="14"/>
    </row>
    <row r="79" spans="1:5" x14ac:dyDescent="0.25">
      <c r="A79" s="85" t="s">
        <v>266</v>
      </c>
      <c r="D79" s="14"/>
    </row>
    <row r="80" spans="1:5" x14ac:dyDescent="0.25">
      <c r="A80" s="85" t="s">
        <v>342</v>
      </c>
      <c r="D80" s="14"/>
    </row>
    <row r="81" spans="1:4" x14ac:dyDescent="0.25">
      <c r="A81" s="85" t="s">
        <v>341</v>
      </c>
      <c r="D81" s="14"/>
    </row>
    <row r="82" spans="1:4" x14ac:dyDescent="0.25">
      <c r="A82" s="85" t="s">
        <v>343</v>
      </c>
      <c r="D82" s="14"/>
    </row>
    <row r="83" spans="1:4" x14ac:dyDescent="0.25">
      <c r="A83" s="33"/>
      <c r="D83" s="14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24">
    <tabColor rgb="FF002060"/>
    <pageSetUpPr fitToPage="1"/>
  </sheetPr>
  <dimension ref="A1:M84"/>
  <sheetViews>
    <sheetView zoomScale="85" zoomScaleNormal="85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8" width="9.109375" style="1"/>
    <col min="9" max="9" width="11" style="1" bestFit="1" customWidth="1"/>
    <col min="10" max="10" width="4.88671875" style="1" bestFit="1" customWidth="1"/>
    <col min="11" max="16384" width="9.109375" style="1"/>
  </cols>
  <sheetData>
    <row r="1" spans="1:13" ht="18" x14ac:dyDescent="0.35">
      <c r="A1" s="75" t="s">
        <v>346</v>
      </c>
    </row>
    <row r="2" spans="1:13" ht="18" x14ac:dyDescent="0.35">
      <c r="A2" s="75"/>
    </row>
    <row r="3" spans="1:13" ht="18" x14ac:dyDescent="0.35">
      <c r="A3" s="75"/>
    </row>
    <row r="4" spans="1:13" ht="18" x14ac:dyDescent="0.35">
      <c r="A4" s="75"/>
    </row>
    <row r="6" spans="1:13" ht="13.8" x14ac:dyDescent="0.3">
      <c r="A6" s="73" t="s">
        <v>0</v>
      </c>
      <c r="B6" s="74" t="s">
        <v>348</v>
      </c>
      <c r="C6" s="20"/>
    </row>
    <row r="7" spans="1:13" ht="14.4" thickBot="1" x14ac:dyDescent="0.35">
      <c r="A7" s="83" t="s">
        <v>6</v>
      </c>
      <c r="B7" s="110" t="s">
        <v>110</v>
      </c>
      <c r="C7" s="110">
        <v>18</v>
      </c>
      <c r="D7" s="65"/>
      <c r="E7" s="96" t="s">
        <v>77</v>
      </c>
      <c r="F7" s="96" t="s">
        <v>81</v>
      </c>
      <c r="G7" s="96" t="s">
        <v>82</v>
      </c>
      <c r="L7" s="67"/>
      <c r="M7" s="66"/>
    </row>
    <row r="8" spans="1:13" ht="13.8" x14ac:dyDescent="0.3">
      <c r="A8" s="83" t="s">
        <v>263</v>
      </c>
      <c r="B8" s="110" t="s">
        <v>2</v>
      </c>
      <c r="C8" s="110">
        <v>17</v>
      </c>
      <c r="D8" s="65"/>
      <c r="E8" s="72" t="s">
        <v>138</v>
      </c>
      <c r="F8" s="86">
        <f>COUNTIF(C$7:C$76,"&gt;16")</f>
        <v>6</v>
      </c>
      <c r="G8" s="87">
        <f>F8/F$14</f>
        <v>9.0909090909090912E-2</v>
      </c>
      <c r="I8" s="66"/>
      <c r="K8" s="66"/>
      <c r="L8" s="66"/>
      <c r="M8" s="67"/>
    </row>
    <row r="9" spans="1:13" ht="13.8" x14ac:dyDescent="0.3">
      <c r="A9" s="83" t="s">
        <v>3</v>
      </c>
      <c r="B9" s="110" t="s">
        <v>2</v>
      </c>
      <c r="C9" s="110">
        <v>17</v>
      </c>
      <c r="D9" s="65"/>
      <c r="E9" s="72" t="s">
        <v>10</v>
      </c>
      <c r="F9" s="86">
        <f>COUNTIF(C$7:C$76,"=16")</f>
        <v>7</v>
      </c>
      <c r="G9" s="87">
        <f t="shared" ref="G9:G14" si="0">F9/F$14</f>
        <v>0.10606060606060606</v>
      </c>
      <c r="I9" s="66"/>
      <c r="K9" s="66"/>
      <c r="L9" s="66"/>
      <c r="M9" s="67"/>
    </row>
    <row r="10" spans="1:13" ht="13.8" x14ac:dyDescent="0.3">
      <c r="A10" s="83" t="s">
        <v>4</v>
      </c>
      <c r="B10" s="110" t="s">
        <v>2</v>
      </c>
      <c r="C10" s="110">
        <v>17</v>
      </c>
      <c r="D10" s="65"/>
      <c r="E10" s="72" t="s">
        <v>16</v>
      </c>
      <c r="F10" s="86">
        <f>COUNTIF(C$7:C$76,"=15")</f>
        <v>17</v>
      </c>
      <c r="G10" s="87">
        <f t="shared" si="0"/>
        <v>0.25757575757575757</v>
      </c>
      <c r="I10" s="66"/>
      <c r="K10" s="66"/>
      <c r="L10" s="66"/>
      <c r="M10" s="67"/>
    </row>
    <row r="11" spans="1:13" ht="13.8" x14ac:dyDescent="0.3">
      <c r="A11" s="83" t="s">
        <v>5</v>
      </c>
      <c r="B11" s="110" t="s">
        <v>2</v>
      </c>
      <c r="C11" s="110">
        <v>17</v>
      </c>
      <c r="D11" s="65"/>
      <c r="E11" s="72" t="s">
        <v>28</v>
      </c>
      <c r="F11" s="86">
        <f>COUNTIF(C$7:C$76,"=14")</f>
        <v>15</v>
      </c>
      <c r="G11" s="87">
        <f t="shared" si="0"/>
        <v>0.22727272727272727</v>
      </c>
      <c r="I11" s="67"/>
      <c r="J11" s="4"/>
      <c r="K11" s="67"/>
      <c r="L11" s="67"/>
      <c r="M11" s="67"/>
    </row>
    <row r="12" spans="1:13" ht="13.8" x14ac:dyDescent="0.3">
      <c r="A12" s="83" t="s">
        <v>7</v>
      </c>
      <c r="B12" s="110" t="s">
        <v>2</v>
      </c>
      <c r="C12" s="110">
        <v>17</v>
      </c>
      <c r="D12" s="65"/>
      <c r="E12" s="72" t="s">
        <v>49</v>
      </c>
      <c r="F12" s="86">
        <f>COUNTIF(C$7:C$76,"=13")</f>
        <v>13</v>
      </c>
      <c r="G12" s="87">
        <f t="shared" si="0"/>
        <v>0.19696969696969696</v>
      </c>
    </row>
    <row r="13" spans="1:13" ht="14.4" thickBot="1" x14ac:dyDescent="0.35">
      <c r="A13" s="81" t="s">
        <v>18</v>
      </c>
      <c r="B13" s="82" t="s">
        <v>10</v>
      </c>
      <c r="C13" s="82">
        <v>16</v>
      </c>
      <c r="D13" s="65"/>
      <c r="E13" s="93" t="s">
        <v>79</v>
      </c>
      <c r="F13" s="94">
        <f>COUNTIF(C$7:C$76,"&lt;13")</f>
        <v>8</v>
      </c>
      <c r="G13" s="95">
        <f t="shared" si="0"/>
        <v>0.12121212121212122</v>
      </c>
    </row>
    <row r="14" spans="1:13" ht="13.8" x14ac:dyDescent="0.3">
      <c r="A14" s="81" t="s">
        <v>32</v>
      </c>
      <c r="B14" s="82" t="s">
        <v>10</v>
      </c>
      <c r="C14" s="82">
        <v>16</v>
      </c>
      <c r="D14" s="65"/>
      <c r="E14" s="88" t="s">
        <v>80</v>
      </c>
      <c r="F14" s="89">
        <f>SUM(F8:F13)</f>
        <v>66</v>
      </c>
      <c r="G14" s="90">
        <f t="shared" si="0"/>
        <v>1</v>
      </c>
    </row>
    <row r="15" spans="1:13" ht="13.8" x14ac:dyDescent="0.3">
      <c r="A15" s="81" t="s">
        <v>253</v>
      </c>
      <c r="B15" s="82" t="s">
        <v>10</v>
      </c>
      <c r="C15" s="82">
        <v>16</v>
      </c>
      <c r="D15" s="69"/>
      <c r="I15" s="9"/>
    </row>
    <row r="16" spans="1:13" ht="13.8" x14ac:dyDescent="0.3">
      <c r="A16" s="81" t="s">
        <v>87</v>
      </c>
      <c r="B16" s="82" t="s">
        <v>10</v>
      </c>
      <c r="C16" s="82">
        <v>16</v>
      </c>
      <c r="D16" s="65"/>
      <c r="I16" s="9"/>
      <c r="J16" s="4"/>
    </row>
    <row r="17" spans="1:12" ht="13.8" x14ac:dyDescent="0.3">
      <c r="A17" s="81" t="s">
        <v>52</v>
      </c>
      <c r="B17" s="82" t="s">
        <v>10</v>
      </c>
      <c r="C17" s="82">
        <v>16</v>
      </c>
      <c r="D17" s="65"/>
      <c r="I17" s="9"/>
      <c r="J17" s="4"/>
    </row>
    <row r="18" spans="1:12" ht="13.8" x14ac:dyDescent="0.3">
      <c r="A18" s="81" t="s">
        <v>13</v>
      </c>
      <c r="B18" s="82" t="s">
        <v>10</v>
      </c>
      <c r="C18" s="82">
        <v>16</v>
      </c>
      <c r="D18" s="65"/>
      <c r="I18" s="9"/>
      <c r="J18" s="4"/>
      <c r="L18" s="4"/>
    </row>
    <row r="19" spans="1:12" ht="13.8" x14ac:dyDescent="0.3">
      <c r="A19" s="81" t="s">
        <v>14</v>
      </c>
      <c r="B19" s="82" t="s">
        <v>10</v>
      </c>
      <c r="C19" s="82">
        <v>16</v>
      </c>
      <c r="D19" s="65"/>
      <c r="I19" s="9"/>
      <c r="J19" s="4"/>
      <c r="L19" s="4"/>
    </row>
    <row r="20" spans="1:12" ht="13.8" x14ac:dyDescent="0.3">
      <c r="A20" s="83" t="s">
        <v>15</v>
      </c>
      <c r="B20" s="110" t="s">
        <v>16</v>
      </c>
      <c r="C20" s="110">
        <v>15</v>
      </c>
      <c r="D20" s="65"/>
      <c r="I20" s="9"/>
      <c r="J20" s="4"/>
      <c r="L20" s="4"/>
    </row>
    <row r="21" spans="1:12" ht="13.8" x14ac:dyDescent="0.3">
      <c r="A21" s="83" t="s">
        <v>17</v>
      </c>
      <c r="B21" s="110" t="s">
        <v>16</v>
      </c>
      <c r="C21" s="110">
        <v>15</v>
      </c>
      <c r="D21" s="69"/>
    </row>
    <row r="22" spans="1:12" ht="13.8" x14ac:dyDescent="0.3">
      <c r="A22" s="83" t="s">
        <v>259</v>
      </c>
      <c r="B22" s="110" t="s">
        <v>16</v>
      </c>
      <c r="C22" s="110">
        <v>15</v>
      </c>
      <c r="D22" s="65"/>
    </row>
    <row r="23" spans="1:12" ht="13.8" x14ac:dyDescent="0.3">
      <c r="A23" s="83" t="s">
        <v>19</v>
      </c>
      <c r="B23" s="110" t="s">
        <v>16</v>
      </c>
      <c r="C23" s="110">
        <v>15</v>
      </c>
      <c r="D23" s="65"/>
    </row>
    <row r="24" spans="1:12" ht="13.8" x14ac:dyDescent="0.3">
      <c r="A24" s="83" t="s">
        <v>11</v>
      </c>
      <c r="B24" s="110" t="s">
        <v>16</v>
      </c>
      <c r="C24" s="110">
        <v>15</v>
      </c>
      <c r="D24" s="65"/>
    </row>
    <row r="25" spans="1:12" ht="13.8" x14ac:dyDescent="0.3">
      <c r="A25" s="83" t="s">
        <v>20</v>
      </c>
      <c r="B25" s="110" t="s">
        <v>16</v>
      </c>
      <c r="C25" s="110">
        <v>15</v>
      </c>
      <c r="D25" s="65"/>
    </row>
    <row r="26" spans="1:12" ht="13.8" x14ac:dyDescent="0.3">
      <c r="A26" s="83" t="s">
        <v>254</v>
      </c>
      <c r="B26" s="110" t="s">
        <v>16</v>
      </c>
      <c r="C26" s="110">
        <v>15</v>
      </c>
      <c r="D26" s="65"/>
    </row>
    <row r="27" spans="1:12" ht="13.8" x14ac:dyDescent="0.3">
      <c r="A27" s="83" t="s">
        <v>255</v>
      </c>
      <c r="B27" s="110" t="s">
        <v>16</v>
      </c>
      <c r="C27" s="110">
        <v>15</v>
      </c>
      <c r="D27" s="65"/>
    </row>
    <row r="28" spans="1:12" ht="13.8" x14ac:dyDescent="0.3">
      <c r="A28" s="83" t="s">
        <v>12</v>
      </c>
      <c r="B28" s="110" t="s">
        <v>16</v>
      </c>
      <c r="C28" s="110">
        <v>15</v>
      </c>
      <c r="D28" s="65"/>
    </row>
    <row r="29" spans="1:12" ht="13.8" x14ac:dyDescent="0.3">
      <c r="A29" s="83" t="s">
        <v>21</v>
      </c>
      <c r="B29" s="110" t="s">
        <v>16</v>
      </c>
      <c r="C29" s="110">
        <v>15</v>
      </c>
      <c r="D29" s="69"/>
    </row>
    <row r="30" spans="1:12" ht="13.8" x14ac:dyDescent="0.3">
      <c r="A30" s="83" t="s">
        <v>22</v>
      </c>
      <c r="B30" s="110" t="s">
        <v>16</v>
      </c>
      <c r="C30" s="110">
        <v>15</v>
      </c>
      <c r="D30" s="65"/>
    </row>
    <row r="31" spans="1:12" ht="13.8" x14ac:dyDescent="0.3">
      <c r="A31" s="83" t="s">
        <v>340</v>
      </c>
      <c r="B31" s="110" t="s">
        <v>16</v>
      </c>
      <c r="C31" s="110">
        <v>15</v>
      </c>
      <c r="D31" s="65"/>
      <c r="I31" s="66"/>
      <c r="J31" s="66"/>
    </row>
    <row r="32" spans="1:12" ht="13.8" x14ac:dyDescent="0.3">
      <c r="A32" s="83" t="s">
        <v>24</v>
      </c>
      <c r="B32" s="110" t="s">
        <v>16</v>
      </c>
      <c r="C32" s="110">
        <v>15</v>
      </c>
      <c r="D32" s="65"/>
      <c r="J32" s="66"/>
    </row>
    <row r="33" spans="1:10" ht="13.8" x14ac:dyDescent="0.3">
      <c r="A33" s="83" t="s">
        <v>256</v>
      </c>
      <c r="B33" s="110" t="s">
        <v>16</v>
      </c>
      <c r="C33" s="110">
        <v>15</v>
      </c>
      <c r="D33" s="65"/>
      <c r="J33" s="66"/>
    </row>
    <row r="34" spans="1:10" ht="13.8" x14ac:dyDescent="0.3">
      <c r="A34" s="83" t="s">
        <v>25</v>
      </c>
      <c r="B34" s="110" t="s">
        <v>16</v>
      </c>
      <c r="C34" s="110">
        <v>15</v>
      </c>
      <c r="D34" s="65"/>
      <c r="F34" s="4"/>
      <c r="G34" s="4"/>
      <c r="J34" s="66"/>
    </row>
    <row r="35" spans="1:10" ht="13.8" x14ac:dyDescent="0.3">
      <c r="A35" s="83" t="s">
        <v>26</v>
      </c>
      <c r="B35" s="110" t="s">
        <v>16</v>
      </c>
      <c r="C35" s="110">
        <v>15</v>
      </c>
      <c r="D35" s="65"/>
      <c r="E35" s="86" t="s">
        <v>267</v>
      </c>
      <c r="F35" s="4"/>
      <c r="G35" s="4"/>
      <c r="H35" s="4"/>
      <c r="J35" s="67"/>
    </row>
    <row r="36" spans="1:10" ht="13.8" x14ac:dyDescent="0.3">
      <c r="A36" s="83" t="s">
        <v>257</v>
      </c>
      <c r="B36" s="110" t="s">
        <v>16</v>
      </c>
      <c r="C36" s="110">
        <v>15</v>
      </c>
      <c r="D36" s="65"/>
      <c r="F36" s="11"/>
      <c r="G36" s="11"/>
      <c r="H36" s="4"/>
      <c r="J36" s="67"/>
    </row>
    <row r="37" spans="1:10" ht="13.8" x14ac:dyDescent="0.3">
      <c r="A37" s="81" t="s">
        <v>258</v>
      </c>
      <c r="B37" s="82" t="s">
        <v>28</v>
      </c>
      <c r="C37" s="82">
        <v>14</v>
      </c>
      <c r="D37" s="65"/>
      <c r="F37" s="12"/>
      <c r="G37" s="4"/>
      <c r="H37" s="11"/>
    </row>
    <row r="38" spans="1:10" ht="13.8" x14ac:dyDescent="0.3">
      <c r="A38" s="81" t="s">
        <v>29</v>
      </c>
      <c r="B38" s="82" t="s">
        <v>28</v>
      </c>
      <c r="C38" s="82">
        <v>14</v>
      </c>
      <c r="D38" s="65"/>
      <c r="F38" s="12"/>
      <c r="G38" s="4"/>
      <c r="H38" s="13"/>
    </row>
    <row r="39" spans="1:10" ht="13.8" x14ac:dyDescent="0.3">
      <c r="A39" s="81" t="s">
        <v>30</v>
      </c>
      <c r="B39" s="82" t="s">
        <v>28</v>
      </c>
      <c r="C39" s="82">
        <v>14</v>
      </c>
      <c r="D39" s="65"/>
      <c r="F39" s="12"/>
      <c r="G39" s="4"/>
      <c r="H39" s="13"/>
    </row>
    <row r="40" spans="1:10" ht="13.8" x14ac:dyDescent="0.3">
      <c r="A40" s="81" t="s">
        <v>64</v>
      </c>
      <c r="B40" s="82" t="s">
        <v>28</v>
      </c>
      <c r="C40" s="82">
        <v>14</v>
      </c>
      <c r="D40" s="65"/>
      <c r="F40" s="12"/>
      <c r="G40" s="4"/>
      <c r="H40" s="13"/>
    </row>
    <row r="41" spans="1:10" ht="13.8" x14ac:dyDescent="0.3">
      <c r="A41" s="81" t="s">
        <v>31</v>
      </c>
      <c r="B41" s="82" t="s">
        <v>28</v>
      </c>
      <c r="C41" s="82">
        <v>14</v>
      </c>
      <c r="D41" s="69"/>
      <c r="F41" s="12"/>
      <c r="G41" s="4"/>
      <c r="H41" s="13"/>
    </row>
    <row r="42" spans="1:10" ht="13.8" x14ac:dyDescent="0.3">
      <c r="A42" s="81" t="s">
        <v>34</v>
      </c>
      <c r="B42" s="82" t="s">
        <v>28</v>
      </c>
      <c r="C42" s="82">
        <v>14</v>
      </c>
      <c r="D42" s="65"/>
      <c r="F42" s="12"/>
      <c r="G42" s="4"/>
      <c r="H42" s="13"/>
    </row>
    <row r="43" spans="1:10" ht="13.8" x14ac:dyDescent="0.3">
      <c r="A43" s="81" t="s">
        <v>36</v>
      </c>
      <c r="B43" s="82" t="s">
        <v>28</v>
      </c>
      <c r="C43" s="82">
        <v>14</v>
      </c>
      <c r="D43" s="65"/>
      <c r="F43" s="4"/>
      <c r="G43" s="4"/>
      <c r="H43" s="4"/>
    </row>
    <row r="44" spans="1:10" ht="13.8" x14ac:dyDescent="0.3">
      <c r="A44" s="81" t="s">
        <v>51</v>
      </c>
      <c r="B44" s="82" t="s">
        <v>28</v>
      </c>
      <c r="C44" s="82">
        <v>14</v>
      </c>
      <c r="D44" s="65"/>
      <c r="F44" s="4"/>
      <c r="G44" s="4"/>
      <c r="H44" s="4"/>
    </row>
    <row r="45" spans="1:10" ht="13.8" x14ac:dyDescent="0.3">
      <c r="A45" s="81" t="s">
        <v>260</v>
      </c>
      <c r="B45" s="82" t="s">
        <v>28</v>
      </c>
      <c r="C45" s="82">
        <v>14</v>
      </c>
      <c r="D45" s="65"/>
      <c r="F45" s="4"/>
      <c r="G45" s="4"/>
      <c r="H45" s="4"/>
    </row>
    <row r="46" spans="1:10" ht="13.8" x14ac:dyDescent="0.3">
      <c r="A46" s="81" t="s">
        <v>38</v>
      </c>
      <c r="B46" s="82" t="s">
        <v>28</v>
      </c>
      <c r="C46" s="82">
        <v>14</v>
      </c>
      <c r="D46" s="69"/>
      <c r="H46" s="67"/>
    </row>
    <row r="47" spans="1:10" ht="13.8" x14ac:dyDescent="0.3">
      <c r="A47" s="81" t="s">
        <v>39</v>
      </c>
      <c r="B47" s="82" t="s">
        <v>28</v>
      </c>
      <c r="C47" s="82">
        <v>14</v>
      </c>
      <c r="D47" s="69"/>
      <c r="E47" s="66"/>
      <c r="G47" s="66"/>
      <c r="H47" s="66"/>
    </row>
    <row r="48" spans="1:10" ht="13.8" x14ac:dyDescent="0.3">
      <c r="A48" s="81" t="s">
        <v>512</v>
      </c>
      <c r="B48" s="82" t="s">
        <v>28</v>
      </c>
      <c r="C48" s="82">
        <v>14</v>
      </c>
      <c r="D48" s="65"/>
      <c r="E48" s="66"/>
      <c r="G48" s="66"/>
      <c r="H48" s="66"/>
    </row>
    <row r="49" spans="1:8" ht="13.8" x14ac:dyDescent="0.3">
      <c r="A49" s="81" t="s">
        <v>23</v>
      </c>
      <c r="B49" s="82" t="s">
        <v>28</v>
      </c>
      <c r="C49" s="82">
        <v>14</v>
      </c>
      <c r="D49" s="65"/>
      <c r="E49" s="66"/>
      <c r="G49" s="66"/>
      <c r="H49" s="66"/>
    </row>
    <row r="50" spans="1:8" ht="13.8" x14ac:dyDescent="0.3">
      <c r="A50" s="81" t="s">
        <v>43</v>
      </c>
      <c r="B50" s="82" t="s">
        <v>28</v>
      </c>
      <c r="C50" s="82">
        <v>14</v>
      </c>
      <c r="D50" s="69"/>
      <c r="E50" s="67"/>
      <c r="F50" s="4"/>
      <c r="G50" s="67"/>
      <c r="H50" s="67"/>
    </row>
    <row r="51" spans="1:8" ht="13.8" x14ac:dyDescent="0.3">
      <c r="A51" s="81" t="s">
        <v>45</v>
      </c>
      <c r="B51" s="82" t="s">
        <v>28</v>
      </c>
      <c r="C51" s="82">
        <v>14</v>
      </c>
      <c r="D51" s="69"/>
      <c r="E51" s="67"/>
      <c r="F51" s="4"/>
      <c r="G51" s="67"/>
      <c r="H51" s="67"/>
    </row>
    <row r="52" spans="1:8" ht="13.8" x14ac:dyDescent="0.3">
      <c r="A52" s="83" t="s">
        <v>67</v>
      </c>
      <c r="B52" s="110" t="s">
        <v>49</v>
      </c>
      <c r="C52" s="110">
        <v>13</v>
      </c>
      <c r="D52" s="69"/>
    </row>
    <row r="53" spans="1:8" ht="13.8" x14ac:dyDescent="0.3">
      <c r="A53" s="83" t="s">
        <v>9</v>
      </c>
      <c r="B53" s="110" t="s">
        <v>49</v>
      </c>
      <c r="C53" s="110">
        <v>13</v>
      </c>
      <c r="D53" s="69"/>
    </row>
    <row r="54" spans="1:8" ht="13.8" x14ac:dyDescent="0.3">
      <c r="A54" s="83" t="s">
        <v>48</v>
      </c>
      <c r="B54" s="110" t="s">
        <v>49</v>
      </c>
      <c r="C54" s="110">
        <v>13</v>
      </c>
      <c r="D54" s="65"/>
    </row>
    <row r="55" spans="1:8" ht="13.8" x14ac:dyDescent="0.3">
      <c r="A55" s="83" t="s">
        <v>60</v>
      </c>
      <c r="B55" s="110" t="s">
        <v>49</v>
      </c>
      <c r="C55" s="110">
        <v>13</v>
      </c>
      <c r="D55" s="65"/>
    </row>
    <row r="56" spans="1:8" ht="13.8" x14ac:dyDescent="0.3">
      <c r="A56" s="83" t="s">
        <v>261</v>
      </c>
      <c r="B56" s="110" t="s">
        <v>49</v>
      </c>
      <c r="C56" s="110">
        <v>13</v>
      </c>
      <c r="D56" s="65"/>
    </row>
    <row r="57" spans="1:8" ht="13.8" x14ac:dyDescent="0.3">
      <c r="A57" s="83" t="s">
        <v>57</v>
      </c>
      <c r="B57" s="110" t="s">
        <v>49</v>
      </c>
      <c r="C57" s="110">
        <v>13</v>
      </c>
      <c r="D57" s="69"/>
    </row>
    <row r="58" spans="1:8" ht="13.8" x14ac:dyDescent="0.3">
      <c r="A58" s="83" t="s">
        <v>35</v>
      </c>
      <c r="B58" s="110" t="s">
        <v>49</v>
      </c>
      <c r="C58" s="110">
        <v>13</v>
      </c>
      <c r="D58" s="65"/>
    </row>
    <row r="59" spans="1:8" ht="13.8" x14ac:dyDescent="0.3">
      <c r="A59" s="83" t="s">
        <v>40</v>
      </c>
      <c r="B59" s="110" t="s">
        <v>49</v>
      </c>
      <c r="C59" s="110">
        <v>13</v>
      </c>
      <c r="D59" s="65"/>
    </row>
    <row r="60" spans="1:8" ht="13.8" x14ac:dyDescent="0.3">
      <c r="A60" s="83" t="s">
        <v>41</v>
      </c>
      <c r="B60" s="110" t="s">
        <v>49</v>
      </c>
      <c r="C60" s="110">
        <v>13</v>
      </c>
      <c r="D60" s="65"/>
    </row>
    <row r="61" spans="1:8" ht="13.8" x14ac:dyDescent="0.3">
      <c r="A61" s="83" t="s">
        <v>42</v>
      </c>
      <c r="B61" s="110" t="s">
        <v>49</v>
      </c>
      <c r="C61" s="110">
        <v>13</v>
      </c>
      <c r="D61" s="65"/>
    </row>
    <row r="62" spans="1:8" ht="13.8" x14ac:dyDescent="0.3">
      <c r="A62" s="83" t="s">
        <v>54</v>
      </c>
      <c r="B62" s="110" t="s">
        <v>49</v>
      </c>
      <c r="C62" s="110">
        <v>13</v>
      </c>
      <c r="D62" s="65"/>
    </row>
    <row r="63" spans="1:8" ht="13.8" x14ac:dyDescent="0.3">
      <c r="A63" s="83" t="s">
        <v>62</v>
      </c>
      <c r="B63" s="110" t="s">
        <v>49</v>
      </c>
      <c r="C63" s="110">
        <v>13</v>
      </c>
      <c r="D63" s="65"/>
    </row>
    <row r="64" spans="1:8" ht="13.8" x14ac:dyDescent="0.3">
      <c r="A64" s="83" t="s">
        <v>59</v>
      </c>
      <c r="B64" s="110" t="s">
        <v>49</v>
      </c>
      <c r="C64" s="110">
        <v>13</v>
      </c>
      <c r="D64" s="65"/>
    </row>
    <row r="65" spans="1:5" ht="13.8" x14ac:dyDescent="0.3">
      <c r="A65" s="81" t="s">
        <v>55</v>
      </c>
      <c r="B65" s="82" t="s">
        <v>56</v>
      </c>
      <c r="C65" s="82">
        <v>12</v>
      </c>
      <c r="D65" s="65"/>
    </row>
    <row r="66" spans="1:5" ht="13.8" x14ac:dyDescent="0.3">
      <c r="A66" s="81" t="s">
        <v>50</v>
      </c>
      <c r="B66" s="82" t="s">
        <v>56</v>
      </c>
      <c r="C66" s="82">
        <v>12</v>
      </c>
      <c r="D66" s="69"/>
    </row>
    <row r="67" spans="1:5" ht="13.8" x14ac:dyDescent="0.3">
      <c r="A67" s="81" t="s">
        <v>58</v>
      </c>
      <c r="B67" s="82" t="s">
        <v>56</v>
      </c>
      <c r="C67" s="82">
        <v>12</v>
      </c>
      <c r="D67" s="69"/>
    </row>
    <row r="68" spans="1:5" ht="13.8" x14ac:dyDescent="0.3">
      <c r="A68" s="81" t="s">
        <v>66</v>
      </c>
      <c r="B68" s="82" t="s">
        <v>56</v>
      </c>
      <c r="C68" s="82">
        <v>12</v>
      </c>
      <c r="D68" s="69"/>
    </row>
    <row r="69" spans="1:5" ht="13.8" x14ac:dyDescent="0.3">
      <c r="A69" s="83" t="s">
        <v>264</v>
      </c>
      <c r="B69" s="110" t="s">
        <v>61</v>
      </c>
      <c r="C69" s="110">
        <v>11</v>
      </c>
      <c r="D69" s="69"/>
      <c r="E69" s="66"/>
    </row>
    <row r="70" spans="1:5" ht="13.8" x14ac:dyDescent="0.3">
      <c r="A70" s="83" t="s">
        <v>69</v>
      </c>
      <c r="B70" s="110" t="s">
        <v>65</v>
      </c>
      <c r="C70" s="110">
        <v>10</v>
      </c>
      <c r="D70" s="69"/>
    </row>
    <row r="71" spans="1:5" ht="13.8" x14ac:dyDescent="0.3">
      <c r="A71" s="113" t="s">
        <v>70</v>
      </c>
      <c r="B71" s="110" t="s">
        <v>68</v>
      </c>
      <c r="C71" s="110">
        <v>9</v>
      </c>
      <c r="D71" s="65"/>
      <c r="E71" s="66"/>
    </row>
    <row r="72" spans="1:5" ht="13.8" x14ac:dyDescent="0.3">
      <c r="A72" s="83" t="s">
        <v>248</v>
      </c>
      <c r="B72" s="110" t="s">
        <v>71</v>
      </c>
      <c r="C72" s="110">
        <v>7</v>
      </c>
      <c r="D72" s="69"/>
    </row>
    <row r="73" spans="1:5" ht="13.8" x14ac:dyDescent="0.3">
      <c r="A73" s="83" t="s">
        <v>72</v>
      </c>
      <c r="B73" s="84" t="s">
        <v>136</v>
      </c>
      <c r="C73" s="84"/>
      <c r="D73" s="12"/>
    </row>
    <row r="74" spans="1:5" ht="13.8" x14ac:dyDescent="0.3">
      <c r="A74" s="83" t="s">
        <v>74</v>
      </c>
      <c r="B74" s="84" t="s">
        <v>136</v>
      </c>
      <c r="C74" s="84"/>
      <c r="D74" s="9"/>
    </row>
    <row r="75" spans="1:5" ht="13.8" x14ac:dyDescent="0.3">
      <c r="A75" s="83" t="s">
        <v>75</v>
      </c>
      <c r="B75" s="84" t="s">
        <v>136</v>
      </c>
      <c r="C75" s="84"/>
      <c r="D75" s="9"/>
    </row>
    <row r="76" spans="1:5" ht="14.4" thickBot="1" x14ac:dyDescent="0.35">
      <c r="A76" s="112" t="s">
        <v>76</v>
      </c>
      <c r="B76" s="92" t="s">
        <v>136</v>
      </c>
      <c r="C76" s="92"/>
      <c r="D76" s="9"/>
    </row>
    <row r="77" spans="1:5" ht="13.8" x14ac:dyDescent="0.3">
      <c r="A77" s="76" t="s">
        <v>135</v>
      </c>
      <c r="B77" s="78" t="s">
        <v>28</v>
      </c>
      <c r="C77" s="77">
        <f>AVERAGE(C7:C72)</f>
        <v>14.151515151515152</v>
      </c>
      <c r="D77" s="14"/>
    </row>
    <row r="78" spans="1:5" x14ac:dyDescent="0.25">
      <c r="A78" s="7"/>
      <c r="B78" s="5"/>
      <c r="D78" s="14"/>
    </row>
    <row r="79" spans="1:5" x14ac:dyDescent="0.25">
      <c r="A79" s="7"/>
      <c r="B79" s="5"/>
      <c r="D79" s="14"/>
    </row>
    <row r="80" spans="1:5" x14ac:dyDescent="0.25">
      <c r="A80" s="85" t="s">
        <v>266</v>
      </c>
      <c r="D80" s="14"/>
    </row>
    <row r="81" spans="1:4" x14ac:dyDescent="0.25">
      <c r="A81" s="85" t="s">
        <v>350</v>
      </c>
      <c r="D81" s="14"/>
    </row>
    <row r="82" spans="1:4" x14ac:dyDescent="0.25">
      <c r="A82" s="85" t="s">
        <v>351</v>
      </c>
      <c r="D82" s="14"/>
    </row>
    <row r="83" spans="1:4" x14ac:dyDescent="0.25">
      <c r="A83" s="85" t="s">
        <v>352</v>
      </c>
      <c r="D83" s="14"/>
    </row>
    <row r="84" spans="1:4" x14ac:dyDescent="0.25">
      <c r="A84" s="33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3">
    <tabColor rgb="FF0070C0"/>
    <pageSetUpPr fitToPage="1"/>
  </sheetPr>
  <dimension ref="A1:H84"/>
  <sheetViews>
    <sheetView zoomScale="80" zoomScaleNormal="80" workbookViewId="0"/>
  </sheetViews>
  <sheetFormatPr defaultColWidth="9.109375" defaultRowHeight="13.2" x14ac:dyDescent="0.25"/>
  <cols>
    <col min="1" max="1" width="37.109375" style="1" customWidth="1"/>
    <col min="2" max="2" width="9.109375" style="1"/>
    <col min="3" max="3" width="9.109375" style="4"/>
    <col min="4" max="4" width="9.109375" style="1"/>
    <col min="5" max="5" width="11.5546875" style="1" customWidth="1"/>
    <col min="6" max="16384" width="9.109375" style="1"/>
  </cols>
  <sheetData>
    <row r="1" spans="1:7" ht="17.399999999999999" x14ac:dyDescent="0.3">
      <c r="A1" s="18" t="s">
        <v>241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6" spans="1:7" x14ac:dyDescent="0.25">
      <c r="A6" s="37" t="s">
        <v>0</v>
      </c>
      <c r="B6" s="19">
        <v>2006</v>
      </c>
      <c r="C6" s="20"/>
      <c r="E6" s="17"/>
      <c r="F6" s="4"/>
      <c r="G6" s="4"/>
    </row>
    <row r="7" spans="1:7" x14ac:dyDescent="0.25">
      <c r="A7" s="25" t="s">
        <v>6</v>
      </c>
      <c r="B7" s="5" t="s">
        <v>110</v>
      </c>
      <c r="C7" s="22">
        <v>18</v>
      </c>
      <c r="D7" s="9"/>
      <c r="E7" s="11" t="s">
        <v>77</v>
      </c>
      <c r="F7" s="11" t="s">
        <v>81</v>
      </c>
      <c r="G7" s="11" t="s">
        <v>82</v>
      </c>
    </row>
    <row r="8" spans="1:7" x14ac:dyDescent="0.25">
      <c r="A8" s="21" t="s">
        <v>1</v>
      </c>
      <c r="B8" s="24" t="s">
        <v>2</v>
      </c>
      <c r="C8" s="22">
        <v>17</v>
      </c>
      <c r="D8" s="9"/>
      <c r="E8" s="12" t="s">
        <v>138</v>
      </c>
      <c r="F8" s="4">
        <v>8</v>
      </c>
      <c r="G8" s="26">
        <f>F8/F14</f>
        <v>0.12121212121212122</v>
      </c>
    </row>
    <row r="9" spans="1:7" x14ac:dyDescent="0.25">
      <c r="A9" s="25" t="s">
        <v>3</v>
      </c>
      <c r="B9" s="25" t="s">
        <v>2</v>
      </c>
      <c r="C9" s="22">
        <v>17</v>
      </c>
      <c r="D9" s="9"/>
      <c r="E9" s="12" t="s">
        <v>10</v>
      </c>
      <c r="F9" s="4">
        <v>3</v>
      </c>
      <c r="G9" s="26">
        <f t="shared" ref="G9:G14" si="0">F9/$F$14</f>
        <v>4.5454545454545456E-2</v>
      </c>
    </row>
    <row r="10" spans="1:7" x14ac:dyDescent="0.25">
      <c r="A10" s="25" t="s">
        <v>4</v>
      </c>
      <c r="B10" s="25" t="s">
        <v>2</v>
      </c>
      <c r="C10" s="22">
        <v>17</v>
      </c>
      <c r="D10" s="9"/>
      <c r="E10" s="12" t="s">
        <v>16</v>
      </c>
      <c r="F10" s="4">
        <v>14</v>
      </c>
      <c r="G10" s="26">
        <f t="shared" si="0"/>
        <v>0.21212121212121213</v>
      </c>
    </row>
    <row r="11" spans="1:7" x14ac:dyDescent="0.25">
      <c r="A11" s="25" t="s">
        <v>87</v>
      </c>
      <c r="B11" s="25" t="s">
        <v>2</v>
      </c>
      <c r="C11" s="22">
        <v>17</v>
      </c>
      <c r="D11" s="9"/>
      <c r="E11" s="12" t="s">
        <v>28</v>
      </c>
      <c r="F11" s="4">
        <v>23</v>
      </c>
      <c r="G11" s="26">
        <f t="shared" si="0"/>
        <v>0.34848484848484851</v>
      </c>
    </row>
    <row r="12" spans="1:7" x14ac:dyDescent="0.25">
      <c r="A12" s="25" t="s">
        <v>5</v>
      </c>
      <c r="B12" s="25" t="s">
        <v>2</v>
      </c>
      <c r="C12" s="22">
        <v>17</v>
      </c>
      <c r="D12" s="9"/>
      <c r="E12" s="12" t="s">
        <v>49</v>
      </c>
      <c r="F12" s="4">
        <v>6</v>
      </c>
      <c r="G12" s="26">
        <f t="shared" si="0"/>
        <v>9.0909090909090912E-2</v>
      </c>
    </row>
    <row r="13" spans="1:7" x14ac:dyDescent="0.25">
      <c r="A13" s="25" t="s">
        <v>7</v>
      </c>
      <c r="B13" s="25" t="s">
        <v>2</v>
      </c>
      <c r="C13" s="22">
        <v>17</v>
      </c>
      <c r="D13" s="9"/>
      <c r="E13" s="12" t="s">
        <v>79</v>
      </c>
      <c r="F13" s="4">
        <v>12</v>
      </c>
      <c r="G13" s="26">
        <f t="shared" si="0"/>
        <v>0.18181818181818182</v>
      </c>
    </row>
    <row r="14" spans="1:7" x14ac:dyDescent="0.25">
      <c r="A14" s="25" t="s">
        <v>8</v>
      </c>
      <c r="B14" s="25" t="s">
        <v>2</v>
      </c>
      <c r="C14" s="22">
        <v>17</v>
      </c>
      <c r="D14" s="12"/>
      <c r="E14" s="9" t="s">
        <v>80</v>
      </c>
      <c r="F14" s="1">
        <f>SUM(F8:F13)</f>
        <v>66</v>
      </c>
      <c r="G14" s="10">
        <f t="shared" si="0"/>
        <v>1</v>
      </c>
    </row>
    <row r="15" spans="1:7" x14ac:dyDescent="0.25">
      <c r="A15" s="30" t="s">
        <v>52</v>
      </c>
      <c r="B15" s="28" t="s">
        <v>10</v>
      </c>
      <c r="C15" s="29">
        <v>16</v>
      </c>
      <c r="D15" s="9"/>
    </row>
    <row r="16" spans="1:7" x14ac:dyDescent="0.25">
      <c r="A16" s="28" t="s">
        <v>13</v>
      </c>
      <c r="B16" s="28" t="s">
        <v>10</v>
      </c>
      <c r="C16" s="29">
        <v>16</v>
      </c>
      <c r="D16" s="9"/>
    </row>
    <row r="17" spans="1:4" x14ac:dyDescent="0.25">
      <c r="A17" s="28" t="s">
        <v>14</v>
      </c>
      <c r="B17" s="28" t="s">
        <v>10</v>
      </c>
      <c r="C17" s="29">
        <v>16</v>
      </c>
      <c r="D17" s="9"/>
    </row>
    <row r="18" spans="1:4" x14ac:dyDescent="0.25">
      <c r="A18" s="25" t="s">
        <v>15</v>
      </c>
      <c r="B18" s="25" t="s">
        <v>16</v>
      </c>
      <c r="C18" s="22">
        <v>15</v>
      </c>
      <c r="D18" s="9"/>
    </row>
    <row r="19" spans="1:4" x14ac:dyDescent="0.25">
      <c r="A19" s="25" t="s">
        <v>17</v>
      </c>
      <c r="B19" s="25" t="s">
        <v>16</v>
      </c>
      <c r="C19" s="22">
        <v>15</v>
      </c>
      <c r="D19" s="9"/>
    </row>
    <row r="20" spans="1:4" x14ac:dyDescent="0.25">
      <c r="A20" s="25" t="s">
        <v>88</v>
      </c>
      <c r="B20" s="25" t="s">
        <v>16</v>
      </c>
      <c r="C20" s="22">
        <v>15</v>
      </c>
      <c r="D20" s="12"/>
    </row>
    <row r="21" spans="1:4" x14ac:dyDescent="0.25">
      <c r="A21" s="25" t="s">
        <v>19</v>
      </c>
      <c r="B21" s="25" t="s">
        <v>16</v>
      </c>
      <c r="C21" s="22">
        <v>15</v>
      </c>
      <c r="D21" s="12"/>
    </row>
    <row r="22" spans="1:4" x14ac:dyDescent="0.25">
      <c r="A22" s="25" t="s">
        <v>11</v>
      </c>
      <c r="B22" s="25" t="s">
        <v>16</v>
      </c>
      <c r="C22" s="22">
        <v>15</v>
      </c>
      <c r="D22" s="12"/>
    </row>
    <row r="23" spans="1:4" x14ac:dyDescent="0.25">
      <c r="A23" s="25" t="s">
        <v>20</v>
      </c>
      <c r="B23" s="25" t="s">
        <v>16</v>
      </c>
      <c r="C23" s="22">
        <v>15</v>
      </c>
      <c r="D23" s="9"/>
    </row>
    <row r="24" spans="1:4" x14ac:dyDescent="0.25">
      <c r="A24" s="24" t="s">
        <v>237</v>
      </c>
      <c r="B24" s="2" t="s">
        <v>16</v>
      </c>
      <c r="C24" s="22">
        <v>15</v>
      </c>
      <c r="D24" s="9"/>
    </row>
    <row r="25" spans="1:4" x14ac:dyDescent="0.25">
      <c r="A25" s="24" t="s">
        <v>236</v>
      </c>
      <c r="B25" s="2" t="s">
        <v>16</v>
      </c>
      <c r="C25" s="22">
        <v>15</v>
      </c>
      <c r="D25" s="9"/>
    </row>
    <row r="26" spans="1:4" x14ac:dyDescent="0.25">
      <c r="A26" s="32" t="s">
        <v>12</v>
      </c>
      <c r="B26" s="32" t="s">
        <v>16</v>
      </c>
      <c r="C26" s="22">
        <v>15</v>
      </c>
      <c r="D26" s="9"/>
    </row>
    <row r="27" spans="1:4" x14ac:dyDescent="0.25">
      <c r="A27" s="25" t="s">
        <v>21</v>
      </c>
      <c r="B27" s="25" t="s">
        <v>16</v>
      </c>
      <c r="C27" s="22">
        <v>15</v>
      </c>
      <c r="D27" s="9"/>
    </row>
    <row r="28" spans="1:4" x14ac:dyDescent="0.25">
      <c r="A28" s="25" t="s">
        <v>22</v>
      </c>
      <c r="B28" s="25" t="s">
        <v>16</v>
      </c>
      <c r="C28" s="22">
        <v>15</v>
      </c>
      <c r="D28" s="9"/>
    </row>
    <row r="29" spans="1:4" x14ac:dyDescent="0.25">
      <c r="A29" s="25" t="s">
        <v>24</v>
      </c>
      <c r="B29" s="25" t="s">
        <v>16</v>
      </c>
      <c r="C29" s="22">
        <v>15</v>
      </c>
      <c r="D29" s="9"/>
    </row>
    <row r="30" spans="1:4" x14ac:dyDescent="0.25">
      <c r="A30" s="25" t="s">
        <v>25</v>
      </c>
      <c r="B30" s="25" t="s">
        <v>16</v>
      </c>
      <c r="C30" s="22">
        <v>15</v>
      </c>
      <c r="D30" s="12"/>
    </row>
    <row r="31" spans="1:4" x14ac:dyDescent="0.25">
      <c r="A31" s="25" t="s">
        <v>26</v>
      </c>
      <c r="B31" s="25" t="s">
        <v>16</v>
      </c>
      <c r="C31" s="22">
        <v>15</v>
      </c>
      <c r="D31" s="9"/>
    </row>
    <row r="32" spans="1:4" x14ac:dyDescent="0.25">
      <c r="A32" s="28" t="s">
        <v>9</v>
      </c>
      <c r="B32" s="28" t="s">
        <v>28</v>
      </c>
      <c r="C32" s="29">
        <v>14</v>
      </c>
      <c r="D32" s="9"/>
    </row>
    <row r="33" spans="1:8" x14ac:dyDescent="0.25">
      <c r="A33" s="28" t="s">
        <v>27</v>
      </c>
      <c r="B33" s="28" t="s">
        <v>28</v>
      </c>
      <c r="C33" s="29">
        <v>14</v>
      </c>
      <c r="D33" s="9"/>
    </row>
    <row r="34" spans="1:8" x14ac:dyDescent="0.25">
      <c r="A34" s="28" t="s">
        <v>29</v>
      </c>
      <c r="B34" s="28" t="s">
        <v>28</v>
      </c>
      <c r="C34" s="29">
        <v>14</v>
      </c>
      <c r="D34" s="9"/>
    </row>
    <row r="35" spans="1:8" x14ac:dyDescent="0.25">
      <c r="A35" s="28" t="s">
        <v>30</v>
      </c>
      <c r="B35" s="28" t="s">
        <v>28</v>
      </c>
      <c r="C35" s="29">
        <v>14</v>
      </c>
      <c r="D35" s="9"/>
      <c r="E35" s="33" t="s">
        <v>133</v>
      </c>
    </row>
    <row r="36" spans="1:8" x14ac:dyDescent="0.25">
      <c r="A36" s="28" t="s">
        <v>18</v>
      </c>
      <c r="B36" s="34" t="s">
        <v>28</v>
      </c>
      <c r="C36" s="29">
        <v>14</v>
      </c>
      <c r="D36" s="9"/>
      <c r="F36" s="4"/>
      <c r="G36" s="4"/>
      <c r="H36" s="4"/>
    </row>
    <row r="37" spans="1:8" x14ac:dyDescent="0.25">
      <c r="A37" s="28" t="s">
        <v>31</v>
      </c>
      <c r="B37" s="28" t="s">
        <v>28</v>
      </c>
      <c r="C37" s="29">
        <v>14</v>
      </c>
      <c r="D37" s="9"/>
      <c r="F37" s="11"/>
      <c r="G37" s="11"/>
      <c r="H37" s="11"/>
    </row>
    <row r="38" spans="1:8" x14ac:dyDescent="0.25">
      <c r="A38" s="28" t="s">
        <v>32</v>
      </c>
      <c r="B38" s="28" t="s">
        <v>28</v>
      </c>
      <c r="C38" s="29">
        <v>14</v>
      </c>
      <c r="D38" s="12"/>
      <c r="F38" s="12"/>
      <c r="G38" s="4"/>
      <c r="H38" s="13"/>
    </row>
    <row r="39" spans="1:8" x14ac:dyDescent="0.25">
      <c r="A39" s="28" t="s">
        <v>33</v>
      </c>
      <c r="B39" s="28" t="s">
        <v>28</v>
      </c>
      <c r="C39" s="29">
        <v>14</v>
      </c>
      <c r="D39" s="12"/>
      <c r="F39" s="12"/>
      <c r="G39" s="4"/>
      <c r="H39" s="13"/>
    </row>
    <row r="40" spans="1:8" x14ac:dyDescent="0.25">
      <c r="A40" s="28" t="s">
        <v>34</v>
      </c>
      <c r="B40" s="28" t="s">
        <v>28</v>
      </c>
      <c r="C40" s="29">
        <v>14</v>
      </c>
      <c r="D40" s="9"/>
      <c r="F40" s="12"/>
      <c r="G40" s="4"/>
      <c r="H40" s="13"/>
    </row>
    <row r="41" spans="1:8" x14ac:dyDescent="0.25">
      <c r="A41" s="28" t="s">
        <v>36</v>
      </c>
      <c r="B41" s="28" t="s">
        <v>28</v>
      </c>
      <c r="C41" s="29">
        <v>14</v>
      </c>
      <c r="D41" s="9"/>
      <c r="F41" s="12"/>
      <c r="G41" s="4"/>
      <c r="H41" s="13"/>
    </row>
    <row r="42" spans="1:8" x14ac:dyDescent="0.25">
      <c r="A42" s="28" t="s">
        <v>51</v>
      </c>
      <c r="B42" s="28" t="s">
        <v>28</v>
      </c>
      <c r="C42" s="29">
        <v>14</v>
      </c>
      <c r="D42" s="12"/>
      <c r="F42" s="12"/>
      <c r="G42" s="4"/>
      <c r="H42" s="13"/>
    </row>
    <row r="43" spans="1:8" x14ac:dyDescent="0.25">
      <c r="A43" s="28" t="s">
        <v>37</v>
      </c>
      <c r="B43" s="28" t="s">
        <v>28</v>
      </c>
      <c r="C43" s="29">
        <v>14</v>
      </c>
      <c r="D43" s="9"/>
      <c r="F43" s="12"/>
      <c r="G43" s="4"/>
      <c r="H43" s="13"/>
    </row>
    <row r="44" spans="1:8" x14ac:dyDescent="0.25">
      <c r="A44" s="28" t="s">
        <v>38</v>
      </c>
      <c r="B44" s="28" t="s">
        <v>28</v>
      </c>
      <c r="C44" s="29">
        <v>14</v>
      </c>
      <c r="D44" s="9"/>
      <c r="F44" s="12"/>
      <c r="G44" s="4"/>
      <c r="H44" s="4"/>
    </row>
    <row r="45" spans="1:8" x14ac:dyDescent="0.25">
      <c r="A45" s="28" t="s">
        <v>39</v>
      </c>
      <c r="B45" s="28" t="s">
        <v>28</v>
      </c>
      <c r="C45" s="29">
        <v>14</v>
      </c>
      <c r="D45" s="9"/>
      <c r="F45" s="4"/>
      <c r="G45" s="4"/>
      <c r="H45" s="4"/>
    </row>
    <row r="46" spans="1:8" x14ac:dyDescent="0.25">
      <c r="A46" s="28" t="s">
        <v>40</v>
      </c>
      <c r="B46" s="28" t="s">
        <v>28</v>
      </c>
      <c r="C46" s="29">
        <v>14</v>
      </c>
      <c r="D46" s="9"/>
      <c r="F46" s="4"/>
      <c r="G46" s="4"/>
      <c r="H46" s="4"/>
    </row>
    <row r="47" spans="1:8" x14ac:dyDescent="0.25">
      <c r="A47" s="28" t="s">
        <v>512</v>
      </c>
      <c r="B47" s="28" t="s">
        <v>28</v>
      </c>
      <c r="C47" s="29">
        <v>14</v>
      </c>
      <c r="D47" s="9"/>
      <c r="F47" s="4"/>
      <c r="G47" s="4"/>
      <c r="H47" s="4"/>
    </row>
    <row r="48" spans="1:8" x14ac:dyDescent="0.25">
      <c r="A48" s="28" t="s">
        <v>23</v>
      </c>
      <c r="B48" s="28" t="s">
        <v>28</v>
      </c>
      <c r="C48" s="29">
        <v>14</v>
      </c>
      <c r="D48" s="12"/>
      <c r="F48" s="4"/>
      <c r="G48" s="4"/>
      <c r="H48" s="4"/>
    </row>
    <row r="49" spans="1:4" x14ac:dyDescent="0.25">
      <c r="A49" s="27" t="s">
        <v>53</v>
      </c>
      <c r="B49" s="38" t="s">
        <v>28</v>
      </c>
      <c r="C49" s="29">
        <v>14</v>
      </c>
      <c r="D49" s="12"/>
    </row>
    <row r="50" spans="1:4" x14ac:dyDescent="0.25">
      <c r="A50" s="28" t="s">
        <v>42</v>
      </c>
      <c r="B50" s="28" t="s">
        <v>28</v>
      </c>
      <c r="C50" s="29">
        <v>14</v>
      </c>
      <c r="D50" s="9"/>
    </row>
    <row r="51" spans="1:4" x14ac:dyDescent="0.25">
      <c r="A51" s="28" t="s">
        <v>43</v>
      </c>
      <c r="B51" s="28" t="s">
        <v>28</v>
      </c>
      <c r="C51" s="29">
        <v>14</v>
      </c>
      <c r="D51" s="9"/>
    </row>
    <row r="52" spans="1:4" x14ac:dyDescent="0.25">
      <c r="A52" s="28" t="s">
        <v>44</v>
      </c>
      <c r="B52" s="28" t="s">
        <v>28</v>
      </c>
      <c r="C52" s="29">
        <v>14</v>
      </c>
      <c r="D52" s="9"/>
    </row>
    <row r="53" spans="1:4" x14ac:dyDescent="0.25">
      <c r="A53" s="28" t="s">
        <v>45</v>
      </c>
      <c r="B53" s="28" t="s">
        <v>28</v>
      </c>
      <c r="C53" s="29">
        <v>14</v>
      </c>
      <c r="D53" s="12"/>
    </row>
    <row r="54" spans="1:4" x14ac:dyDescent="0.25">
      <c r="A54" s="28" t="s">
        <v>47</v>
      </c>
      <c r="B54" s="28" t="s">
        <v>28</v>
      </c>
      <c r="C54" s="29">
        <v>14</v>
      </c>
      <c r="D54" s="12"/>
    </row>
    <row r="55" spans="1:4" x14ac:dyDescent="0.25">
      <c r="A55" s="25" t="s">
        <v>48</v>
      </c>
      <c r="B55" s="25" t="s">
        <v>49</v>
      </c>
      <c r="C55" s="22">
        <v>13</v>
      </c>
      <c r="D55" s="9"/>
    </row>
    <row r="56" spans="1:4" x14ac:dyDescent="0.25">
      <c r="A56" s="25" t="s">
        <v>57</v>
      </c>
      <c r="B56" s="2" t="s">
        <v>49</v>
      </c>
      <c r="C56" s="22">
        <v>13</v>
      </c>
      <c r="D56" s="12"/>
    </row>
    <row r="57" spans="1:4" x14ac:dyDescent="0.25">
      <c r="A57" s="25" t="s">
        <v>35</v>
      </c>
      <c r="B57" s="25" t="s">
        <v>49</v>
      </c>
      <c r="C57" s="22">
        <v>13</v>
      </c>
      <c r="D57" s="9"/>
    </row>
    <row r="58" spans="1:4" x14ac:dyDescent="0.25">
      <c r="A58" s="25" t="s">
        <v>41</v>
      </c>
      <c r="B58" s="2" t="s">
        <v>49</v>
      </c>
      <c r="C58" s="22">
        <v>13</v>
      </c>
      <c r="D58" s="9"/>
    </row>
    <row r="59" spans="1:4" x14ac:dyDescent="0.25">
      <c r="A59" s="25" t="s">
        <v>54</v>
      </c>
      <c r="B59" s="25" t="s">
        <v>49</v>
      </c>
      <c r="C59" s="22">
        <v>13</v>
      </c>
      <c r="D59" s="9"/>
    </row>
    <row r="60" spans="1:4" x14ac:dyDescent="0.25">
      <c r="A60" s="25" t="s">
        <v>46</v>
      </c>
      <c r="B60" s="25" t="s">
        <v>49</v>
      </c>
      <c r="C60" s="22">
        <v>13</v>
      </c>
      <c r="D60" s="9"/>
    </row>
    <row r="61" spans="1:4" x14ac:dyDescent="0.25">
      <c r="A61" s="28" t="s">
        <v>67</v>
      </c>
      <c r="B61" s="28" t="s">
        <v>56</v>
      </c>
      <c r="C61" s="29">
        <v>12</v>
      </c>
      <c r="D61" s="9"/>
    </row>
    <row r="62" spans="1:4" x14ac:dyDescent="0.25">
      <c r="A62" s="28" t="s">
        <v>55</v>
      </c>
      <c r="B62" s="28" t="s">
        <v>56</v>
      </c>
      <c r="C62" s="29">
        <v>12</v>
      </c>
      <c r="D62" s="9"/>
    </row>
    <row r="63" spans="1:4" x14ac:dyDescent="0.25">
      <c r="A63" s="28" t="s">
        <v>50</v>
      </c>
      <c r="B63" s="28" t="s">
        <v>56</v>
      </c>
      <c r="C63" s="29">
        <v>12</v>
      </c>
      <c r="D63" s="12"/>
    </row>
    <row r="64" spans="1:4" x14ac:dyDescent="0.25">
      <c r="A64" s="28" t="s">
        <v>64</v>
      </c>
      <c r="B64" s="34" t="s">
        <v>56</v>
      </c>
      <c r="C64" s="29">
        <v>12</v>
      </c>
      <c r="D64" s="12"/>
    </row>
    <row r="65" spans="1:4" x14ac:dyDescent="0.25">
      <c r="A65" s="28" t="s">
        <v>58</v>
      </c>
      <c r="B65" s="28" t="s">
        <v>56</v>
      </c>
      <c r="C65" s="29">
        <v>12</v>
      </c>
      <c r="D65" s="12"/>
    </row>
    <row r="66" spans="1:4" x14ac:dyDescent="0.25">
      <c r="A66" s="28" t="s">
        <v>66</v>
      </c>
      <c r="B66" s="28" t="s">
        <v>56</v>
      </c>
      <c r="C66" s="29">
        <v>12</v>
      </c>
      <c r="D66" s="12"/>
    </row>
    <row r="67" spans="1:4" x14ac:dyDescent="0.25">
      <c r="A67" s="28" t="s">
        <v>59</v>
      </c>
      <c r="B67" s="28" t="s">
        <v>56</v>
      </c>
      <c r="C67" s="29">
        <v>12</v>
      </c>
      <c r="D67" s="12"/>
    </row>
    <row r="68" spans="1:4" x14ac:dyDescent="0.25">
      <c r="A68" s="25" t="s">
        <v>60</v>
      </c>
      <c r="B68" s="25" t="s">
        <v>61</v>
      </c>
      <c r="C68" s="22">
        <v>11</v>
      </c>
      <c r="D68" s="12"/>
    </row>
    <row r="69" spans="1:4" x14ac:dyDescent="0.25">
      <c r="A69" s="25" t="s">
        <v>62</v>
      </c>
      <c r="B69" s="25" t="s">
        <v>61</v>
      </c>
      <c r="C69" s="22">
        <v>11</v>
      </c>
      <c r="D69" s="12"/>
    </row>
    <row r="70" spans="1:4" x14ac:dyDescent="0.25">
      <c r="A70" s="21" t="s">
        <v>63</v>
      </c>
      <c r="B70" s="39" t="s">
        <v>61</v>
      </c>
      <c r="C70" s="22">
        <v>11</v>
      </c>
      <c r="D70" s="12"/>
    </row>
    <row r="71" spans="1:4" x14ac:dyDescent="0.25">
      <c r="A71" s="28" t="s">
        <v>69</v>
      </c>
      <c r="B71" s="34" t="s">
        <v>65</v>
      </c>
      <c r="C71" s="29">
        <v>10</v>
      </c>
      <c r="D71" s="12"/>
    </row>
    <row r="72" spans="1:4" x14ac:dyDescent="0.25">
      <c r="A72" s="28" t="s">
        <v>70</v>
      </c>
      <c r="B72" s="34" t="s">
        <v>78</v>
      </c>
      <c r="C72" s="29">
        <v>8</v>
      </c>
      <c r="D72" s="12"/>
    </row>
    <row r="73" spans="1:4" x14ac:dyDescent="0.25">
      <c r="A73" s="25" t="s">
        <v>72</v>
      </c>
      <c r="B73" s="25" t="s">
        <v>73</v>
      </c>
      <c r="C73" s="22" t="s">
        <v>136</v>
      </c>
      <c r="D73" s="9"/>
    </row>
    <row r="74" spans="1:4" x14ac:dyDescent="0.25">
      <c r="A74" s="25" t="s">
        <v>223</v>
      </c>
      <c r="B74" s="25"/>
      <c r="C74" s="22" t="s">
        <v>136</v>
      </c>
      <c r="D74" s="9"/>
    </row>
    <row r="75" spans="1:4" x14ac:dyDescent="0.25">
      <c r="A75" s="25" t="s">
        <v>75</v>
      </c>
      <c r="B75" s="25" t="s">
        <v>73</v>
      </c>
      <c r="C75" s="22" t="s">
        <v>136</v>
      </c>
      <c r="D75" s="9"/>
    </row>
    <row r="76" spans="1:4" x14ac:dyDescent="0.25">
      <c r="A76" s="25" t="s">
        <v>76</v>
      </c>
      <c r="B76" s="25" t="s">
        <v>73</v>
      </c>
      <c r="C76" s="22" t="s">
        <v>136</v>
      </c>
      <c r="D76" s="9"/>
    </row>
    <row r="77" spans="1:4" x14ac:dyDescent="0.25">
      <c r="A77" s="35" t="s">
        <v>135</v>
      </c>
      <c r="B77" s="35" t="s">
        <v>28</v>
      </c>
      <c r="C77" s="36">
        <f>SUM(C7:C72)/66</f>
        <v>14.090909090909092</v>
      </c>
      <c r="D77" s="14"/>
    </row>
    <row r="78" spans="1:4" x14ac:dyDescent="0.25">
      <c r="A78" s="7"/>
      <c r="B78" s="5"/>
      <c r="D78" s="14"/>
    </row>
    <row r="79" spans="1:4" x14ac:dyDescent="0.25">
      <c r="A79" s="33" t="s">
        <v>84</v>
      </c>
      <c r="D79" s="14"/>
    </row>
    <row r="80" spans="1:4" x14ac:dyDescent="0.25">
      <c r="A80" s="2" t="s">
        <v>231</v>
      </c>
      <c r="D80" s="14"/>
    </row>
    <row r="81" spans="1:4" x14ac:dyDescent="0.25">
      <c r="A81" s="33" t="s">
        <v>232</v>
      </c>
      <c r="D81" s="14"/>
    </row>
    <row r="82" spans="1:4" x14ac:dyDescent="0.25">
      <c r="A82" s="33" t="s">
        <v>233</v>
      </c>
      <c r="D82" s="14"/>
    </row>
    <row r="83" spans="1:4" x14ac:dyDescent="0.25">
      <c r="D83" s="14"/>
    </row>
    <row r="84" spans="1:4" x14ac:dyDescent="0.25">
      <c r="A84" s="33" t="s">
        <v>224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">
    <tabColor rgb="FF002060"/>
  </sheetPr>
  <dimension ref="A1:G96"/>
  <sheetViews>
    <sheetView zoomScale="80" zoomScaleNormal="80" workbookViewId="0"/>
  </sheetViews>
  <sheetFormatPr defaultColWidth="9.109375" defaultRowHeight="13.2" x14ac:dyDescent="0.25"/>
  <cols>
    <col min="1" max="1" width="35.109375" style="1" customWidth="1"/>
    <col min="2" max="2" width="9.109375" style="1"/>
    <col min="3" max="3" width="9.109375" style="8"/>
    <col min="4" max="4" width="9.109375" style="1"/>
    <col min="5" max="5" width="11.33203125" style="1" customWidth="1"/>
    <col min="6" max="16384" width="9.109375" style="1"/>
  </cols>
  <sheetData>
    <row r="1" spans="1:7" ht="17.399999999999999" x14ac:dyDescent="0.3">
      <c r="A1" s="18" t="s">
        <v>242</v>
      </c>
    </row>
    <row r="2" spans="1:7" ht="17.399999999999999" x14ac:dyDescent="0.3">
      <c r="A2" s="18"/>
    </row>
    <row r="3" spans="1:7" ht="17.399999999999999" x14ac:dyDescent="0.3">
      <c r="A3" s="18"/>
    </row>
    <row r="4" spans="1:7" ht="17.399999999999999" x14ac:dyDescent="0.3">
      <c r="A4" s="18"/>
    </row>
    <row r="7" spans="1:7" x14ac:dyDescent="0.25">
      <c r="A7" s="40"/>
      <c r="B7" s="17"/>
    </row>
    <row r="8" spans="1:7" x14ac:dyDescent="0.25">
      <c r="A8" s="37" t="s">
        <v>0</v>
      </c>
      <c r="B8" s="31" t="s">
        <v>143</v>
      </c>
      <c r="C8" s="29"/>
      <c r="E8" s="17"/>
      <c r="F8" s="4"/>
    </row>
    <row r="9" spans="1:7" x14ac:dyDescent="0.25">
      <c r="A9" s="14" t="s">
        <v>159</v>
      </c>
      <c r="B9" s="2" t="s">
        <v>110</v>
      </c>
      <c r="C9" s="22">
        <v>18</v>
      </c>
      <c r="E9" s="23" t="s">
        <v>77</v>
      </c>
      <c r="F9" s="23" t="s">
        <v>81</v>
      </c>
      <c r="G9" s="23" t="s">
        <v>82</v>
      </c>
    </row>
    <row r="10" spans="1:7" x14ac:dyDescent="0.25">
      <c r="A10" s="14" t="s">
        <v>174</v>
      </c>
      <c r="B10" s="2" t="s">
        <v>110</v>
      </c>
      <c r="C10" s="22">
        <v>18</v>
      </c>
      <c r="E10" s="9" t="s">
        <v>138</v>
      </c>
      <c r="F10" s="1">
        <v>18</v>
      </c>
      <c r="G10" s="10">
        <f>F10/F16</f>
        <v>0.25</v>
      </c>
    </row>
    <row r="11" spans="1:7" x14ac:dyDescent="0.25">
      <c r="A11" s="14" t="s">
        <v>184</v>
      </c>
      <c r="B11" s="2" t="s">
        <v>110</v>
      </c>
      <c r="C11" s="22">
        <v>18</v>
      </c>
      <c r="E11" s="9" t="s">
        <v>10</v>
      </c>
      <c r="F11" s="1">
        <v>12</v>
      </c>
      <c r="G11" s="10">
        <f>F11/$F$16</f>
        <v>0.16666666666666666</v>
      </c>
    </row>
    <row r="12" spans="1:7" x14ac:dyDescent="0.25">
      <c r="A12" s="41" t="s">
        <v>189</v>
      </c>
      <c r="B12" s="25" t="s">
        <v>110</v>
      </c>
      <c r="C12" s="22">
        <v>18</v>
      </c>
      <c r="E12" s="9" t="s">
        <v>16</v>
      </c>
      <c r="F12" s="1">
        <v>19</v>
      </c>
      <c r="G12" s="10">
        <f>F12/$F$16</f>
        <v>0.2638888888888889</v>
      </c>
    </row>
    <row r="13" spans="1:7" x14ac:dyDescent="0.25">
      <c r="A13" s="14" t="s">
        <v>200</v>
      </c>
      <c r="B13" s="25" t="s">
        <v>110</v>
      </c>
      <c r="C13" s="22">
        <v>18</v>
      </c>
      <c r="E13" s="9" t="s">
        <v>28</v>
      </c>
      <c r="F13" s="4">
        <v>10</v>
      </c>
      <c r="G13" s="10">
        <f>F13/$F$16</f>
        <v>0.1388888888888889</v>
      </c>
    </row>
    <row r="14" spans="1:7" x14ac:dyDescent="0.25">
      <c r="A14" s="14" t="s">
        <v>150</v>
      </c>
      <c r="B14" s="2" t="s">
        <v>2</v>
      </c>
      <c r="C14" s="22">
        <v>17</v>
      </c>
      <c r="E14" s="9" t="s">
        <v>49</v>
      </c>
      <c r="F14" s="4">
        <v>7</v>
      </c>
      <c r="G14" s="10">
        <f>F14/$F$16</f>
        <v>9.7222222222222224E-2</v>
      </c>
    </row>
    <row r="15" spans="1:7" x14ac:dyDescent="0.25">
      <c r="A15" s="14" t="s">
        <v>151</v>
      </c>
      <c r="B15" s="25" t="s">
        <v>2</v>
      </c>
      <c r="C15" s="22">
        <v>17</v>
      </c>
      <c r="E15" s="9" t="s">
        <v>79</v>
      </c>
      <c r="F15" s="4">
        <v>6</v>
      </c>
      <c r="G15" s="10">
        <f>F15/$F$16</f>
        <v>8.3333333333333329E-2</v>
      </c>
    </row>
    <row r="16" spans="1:7" x14ac:dyDescent="0.25">
      <c r="A16" s="14" t="s">
        <v>156</v>
      </c>
      <c r="B16" s="2" t="s">
        <v>2</v>
      </c>
      <c r="C16" s="22">
        <v>17</v>
      </c>
      <c r="E16" s="9" t="s">
        <v>80</v>
      </c>
      <c r="F16" s="1">
        <f>SUM(F10:F15)</f>
        <v>72</v>
      </c>
    </row>
    <row r="17" spans="1:7" x14ac:dyDescent="0.25">
      <c r="A17" s="14" t="s">
        <v>6</v>
      </c>
      <c r="B17" s="2" t="s">
        <v>2</v>
      </c>
      <c r="C17" s="22">
        <v>17</v>
      </c>
      <c r="E17" s="9"/>
      <c r="G17" s="10"/>
    </row>
    <row r="18" spans="1:7" x14ac:dyDescent="0.25">
      <c r="A18" s="14" t="s">
        <v>13</v>
      </c>
      <c r="B18" s="25" t="s">
        <v>2</v>
      </c>
      <c r="C18" s="22">
        <v>17</v>
      </c>
      <c r="E18" s="9"/>
      <c r="F18" s="4"/>
      <c r="G18" s="10"/>
    </row>
    <row r="19" spans="1:7" x14ac:dyDescent="0.25">
      <c r="A19" s="14" t="s">
        <v>163</v>
      </c>
      <c r="B19" s="25" t="s">
        <v>2</v>
      </c>
      <c r="C19" s="22">
        <v>17</v>
      </c>
      <c r="E19" s="9"/>
      <c r="F19" s="4"/>
      <c r="G19" s="10"/>
    </row>
    <row r="20" spans="1:7" x14ac:dyDescent="0.25">
      <c r="A20" s="14" t="s">
        <v>167</v>
      </c>
      <c r="B20" s="2" t="s">
        <v>2</v>
      </c>
      <c r="C20" s="22">
        <v>17</v>
      </c>
      <c r="E20" s="9"/>
      <c r="F20" s="4"/>
      <c r="G20" s="10"/>
    </row>
    <row r="21" spans="1:7" x14ac:dyDescent="0.25">
      <c r="A21" s="14" t="s">
        <v>171</v>
      </c>
      <c r="B21" s="39" t="s">
        <v>2</v>
      </c>
      <c r="C21" s="22">
        <v>17</v>
      </c>
      <c r="E21" s="9"/>
    </row>
    <row r="22" spans="1:7" x14ac:dyDescent="0.25">
      <c r="A22" s="14" t="s">
        <v>179</v>
      </c>
      <c r="B22" s="2" t="s">
        <v>2</v>
      </c>
      <c r="C22" s="22">
        <v>17</v>
      </c>
    </row>
    <row r="23" spans="1:7" x14ac:dyDescent="0.25">
      <c r="A23" s="14" t="s">
        <v>183</v>
      </c>
      <c r="B23" s="2" t="s">
        <v>2</v>
      </c>
      <c r="C23" s="22">
        <v>17</v>
      </c>
    </row>
    <row r="24" spans="1:7" x14ac:dyDescent="0.25">
      <c r="A24" s="14" t="s">
        <v>25</v>
      </c>
      <c r="B24" s="25" t="s">
        <v>2</v>
      </c>
      <c r="C24" s="22">
        <v>17</v>
      </c>
    </row>
    <row r="25" spans="1:7" x14ac:dyDescent="0.25">
      <c r="A25" s="14" t="s">
        <v>190</v>
      </c>
      <c r="B25" s="25" t="s">
        <v>2</v>
      </c>
      <c r="C25" s="22">
        <v>17</v>
      </c>
    </row>
    <row r="26" spans="1:7" x14ac:dyDescent="0.25">
      <c r="A26" s="14" t="s">
        <v>197</v>
      </c>
      <c r="B26" s="2" t="s">
        <v>2</v>
      </c>
      <c r="C26" s="22">
        <v>17</v>
      </c>
    </row>
    <row r="27" spans="1:7" x14ac:dyDescent="0.25">
      <c r="A27" s="42" t="s">
        <v>145</v>
      </c>
      <c r="B27" s="34" t="s">
        <v>10</v>
      </c>
      <c r="C27" s="29">
        <v>16</v>
      </c>
    </row>
    <row r="28" spans="1:7" x14ac:dyDescent="0.25">
      <c r="A28" s="42" t="s">
        <v>152</v>
      </c>
      <c r="B28" s="34" t="s">
        <v>10</v>
      </c>
      <c r="C28" s="29">
        <v>16</v>
      </c>
    </row>
    <row r="29" spans="1:7" x14ac:dyDescent="0.25">
      <c r="A29" s="42" t="s">
        <v>154</v>
      </c>
      <c r="B29" s="34" t="s">
        <v>10</v>
      </c>
      <c r="C29" s="29">
        <v>16</v>
      </c>
    </row>
    <row r="30" spans="1:7" x14ac:dyDescent="0.25">
      <c r="A30" s="43" t="s">
        <v>158</v>
      </c>
      <c r="B30" s="28" t="s">
        <v>10</v>
      </c>
      <c r="C30" s="29">
        <v>16</v>
      </c>
    </row>
    <row r="31" spans="1:7" x14ac:dyDescent="0.25">
      <c r="A31" s="43" t="s">
        <v>170</v>
      </c>
      <c r="B31" s="28" t="s">
        <v>10</v>
      </c>
      <c r="C31" s="29">
        <v>16</v>
      </c>
    </row>
    <row r="32" spans="1:7" x14ac:dyDescent="0.25">
      <c r="A32" s="42" t="s">
        <v>173</v>
      </c>
      <c r="B32" s="34" t="s">
        <v>10</v>
      </c>
      <c r="C32" s="29">
        <v>16</v>
      </c>
    </row>
    <row r="33" spans="1:5" x14ac:dyDescent="0.25">
      <c r="A33" s="42" t="s">
        <v>177</v>
      </c>
      <c r="B33" s="28" t="s">
        <v>10</v>
      </c>
      <c r="C33" s="29">
        <v>16</v>
      </c>
    </row>
    <row r="34" spans="1:5" x14ac:dyDescent="0.25">
      <c r="A34" s="42" t="s">
        <v>187</v>
      </c>
      <c r="B34" s="28" t="s">
        <v>10</v>
      </c>
      <c r="C34" s="29">
        <v>16</v>
      </c>
    </row>
    <row r="35" spans="1:5" x14ac:dyDescent="0.25">
      <c r="A35" s="42" t="s">
        <v>195</v>
      </c>
      <c r="B35" s="34" t="s">
        <v>10</v>
      </c>
      <c r="C35" s="29">
        <v>16</v>
      </c>
    </row>
    <row r="36" spans="1:5" x14ac:dyDescent="0.25">
      <c r="A36" s="42" t="s">
        <v>196</v>
      </c>
      <c r="B36" s="34" t="s">
        <v>10</v>
      </c>
      <c r="C36" s="29">
        <v>16</v>
      </c>
    </row>
    <row r="37" spans="1:5" x14ac:dyDescent="0.25">
      <c r="A37" s="42" t="s">
        <v>205</v>
      </c>
      <c r="B37" s="34" t="s">
        <v>10</v>
      </c>
      <c r="C37" s="29">
        <v>16</v>
      </c>
    </row>
    <row r="38" spans="1:5" x14ac:dyDescent="0.25">
      <c r="A38" s="42" t="s">
        <v>165</v>
      </c>
      <c r="B38" s="38" t="s">
        <v>10</v>
      </c>
      <c r="C38" s="29">
        <v>16</v>
      </c>
    </row>
    <row r="39" spans="1:5" x14ac:dyDescent="0.25">
      <c r="A39" s="14" t="s">
        <v>206</v>
      </c>
      <c r="B39" s="2" t="s">
        <v>16</v>
      </c>
      <c r="C39" s="22">
        <v>15</v>
      </c>
    </row>
    <row r="40" spans="1:5" x14ac:dyDescent="0.25">
      <c r="A40" s="14" t="s">
        <v>29</v>
      </c>
      <c r="B40" s="2" t="s">
        <v>16</v>
      </c>
      <c r="C40" s="22">
        <v>15</v>
      </c>
      <c r="E40" s="33" t="s">
        <v>141</v>
      </c>
    </row>
    <row r="41" spans="1:5" x14ac:dyDescent="0.25">
      <c r="A41" s="14" t="s">
        <v>191</v>
      </c>
      <c r="B41" s="25" t="s">
        <v>16</v>
      </c>
      <c r="C41" s="22">
        <v>15</v>
      </c>
    </row>
    <row r="42" spans="1:5" x14ac:dyDescent="0.25">
      <c r="A42" s="14" t="s">
        <v>30</v>
      </c>
      <c r="B42" s="2" t="s">
        <v>16</v>
      </c>
      <c r="C42" s="22">
        <v>15</v>
      </c>
    </row>
    <row r="43" spans="1:5" x14ac:dyDescent="0.25">
      <c r="A43" s="14" t="s">
        <v>181</v>
      </c>
      <c r="B43" s="2" t="s">
        <v>16</v>
      </c>
      <c r="C43" s="22">
        <v>15</v>
      </c>
    </row>
    <row r="44" spans="1:5" x14ac:dyDescent="0.25">
      <c r="A44" s="14" t="s">
        <v>204</v>
      </c>
      <c r="B44" s="25" t="s">
        <v>16</v>
      </c>
      <c r="C44" s="22">
        <v>15</v>
      </c>
      <c r="E44" s="33"/>
    </row>
    <row r="45" spans="1:5" x14ac:dyDescent="0.25">
      <c r="A45" s="14" t="s">
        <v>64</v>
      </c>
      <c r="B45" s="2" t="s">
        <v>16</v>
      </c>
      <c r="C45" s="22">
        <v>15</v>
      </c>
    </row>
    <row r="46" spans="1:5" x14ac:dyDescent="0.25">
      <c r="A46" s="14" t="s">
        <v>185</v>
      </c>
      <c r="B46" s="2" t="s">
        <v>16</v>
      </c>
      <c r="C46" s="22">
        <v>15</v>
      </c>
    </row>
    <row r="47" spans="1:5" x14ac:dyDescent="0.25">
      <c r="A47" s="14" t="s">
        <v>178</v>
      </c>
      <c r="B47" s="2" t="s">
        <v>16</v>
      </c>
      <c r="C47" s="22">
        <v>15</v>
      </c>
    </row>
    <row r="48" spans="1:5" x14ac:dyDescent="0.25">
      <c r="A48" s="14" t="s">
        <v>164</v>
      </c>
      <c r="B48" s="25" t="s">
        <v>16</v>
      </c>
      <c r="C48" s="22">
        <v>15</v>
      </c>
    </row>
    <row r="49" spans="1:3" x14ac:dyDescent="0.25">
      <c r="A49" s="14" t="s">
        <v>147</v>
      </c>
      <c r="B49" s="2" t="s">
        <v>16</v>
      </c>
      <c r="C49" s="22">
        <v>15</v>
      </c>
    </row>
    <row r="50" spans="1:3" x14ac:dyDescent="0.25">
      <c r="A50" s="14" t="s">
        <v>149</v>
      </c>
      <c r="B50" s="2" t="s">
        <v>16</v>
      </c>
      <c r="C50" s="22">
        <v>15</v>
      </c>
    </row>
    <row r="51" spans="1:3" x14ac:dyDescent="0.25">
      <c r="A51" s="14" t="s">
        <v>512</v>
      </c>
      <c r="B51" s="25" t="s">
        <v>16</v>
      </c>
      <c r="C51" s="22">
        <v>15</v>
      </c>
    </row>
    <row r="52" spans="1:3" x14ac:dyDescent="0.25">
      <c r="A52" s="14" t="s">
        <v>203</v>
      </c>
      <c r="B52" s="2" t="s">
        <v>16</v>
      </c>
      <c r="C52" s="22">
        <v>15</v>
      </c>
    </row>
    <row r="53" spans="1:3" x14ac:dyDescent="0.25">
      <c r="A53" s="14" t="s">
        <v>172</v>
      </c>
      <c r="B53" s="39" t="s">
        <v>16</v>
      </c>
      <c r="C53" s="22">
        <v>15</v>
      </c>
    </row>
    <row r="54" spans="1:3" x14ac:dyDescent="0.25">
      <c r="A54" s="14" t="s">
        <v>153</v>
      </c>
      <c r="B54" s="25" t="s">
        <v>16</v>
      </c>
      <c r="C54" s="22">
        <v>15</v>
      </c>
    </row>
    <row r="55" spans="1:3" x14ac:dyDescent="0.25">
      <c r="A55" s="14" t="s">
        <v>193</v>
      </c>
      <c r="B55" s="25" t="s">
        <v>16</v>
      </c>
      <c r="C55" s="22">
        <v>15</v>
      </c>
    </row>
    <row r="56" spans="1:3" x14ac:dyDescent="0.25">
      <c r="A56" s="14" t="s">
        <v>182</v>
      </c>
      <c r="B56" s="25" t="s">
        <v>16</v>
      </c>
      <c r="C56" s="22">
        <v>15</v>
      </c>
    </row>
    <row r="57" spans="1:3" x14ac:dyDescent="0.25">
      <c r="A57" s="14" t="s">
        <v>201</v>
      </c>
      <c r="B57" s="25" t="s">
        <v>16</v>
      </c>
      <c r="C57" s="22">
        <v>15</v>
      </c>
    </row>
    <row r="58" spans="1:3" x14ac:dyDescent="0.25">
      <c r="A58" s="42" t="s">
        <v>198</v>
      </c>
      <c r="B58" s="34" t="s">
        <v>28</v>
      </c>
      <c r="C58" s="29">
        <v>14</v>
      </c>
    </row>
    <row r="59" spans="1:3" x14ac:dyDescent="0.25">
      <c r="A59" s="42" t="s">
        <v>70</v>
      </c>
      <c r="B59" s="34" t="s">
        <v>28</v>
      </c>
      <c r="C59" s="29">
        <v>14</v>
      </c>
    </row>
    <row r="60" spans="1:3" x14ac:dyDescent="0.25">
      <c r="A60" s="42" t="s">
        <v>199</v>
      </c>
      <c r="B60" s="34" t="s">
        <v>28</v>
      </c>
      <c r="C60" s="29">
        <v>14</v>
      </c>
    </row>
    <row r="61" spans="1:3" x14ac:dyDescent="0.25">
      <c r="A61" s="42" t="s">
        <v>202</v>
      </c>
      <c r="B61" s="28" t="s">
        <v>28</v>
      </c>
      <c r="C61" s="29">
        <v>14</v>
      </c>
    </row>
    <row r="62" spans="1:3" x14ac:dyDescent="0.25">
      <c r="A62" s="42" t="s">
        <v>148</v>
      </c>
      <c r="B62" s="28" t="s">
        <v>28</v>
      </c>
      <c r="C62" s="29">
        <v>14</v>
      </c>
    </row>
    <row r="63" spans="1:3" x14ac:dyDescent="0.25">
      <c r="A63" s="42" t="s">
        <v>69</v>
      </c>
      <c r="B63" s="28" t="s">
        <v>28</v>
      </c>
      <c r="C63" s="29">
        <v>14</v>
      </c>
    </row>
    <row r="64" spans="1:3" x14ac:dyDescent="0.25">
      <c r="A64" s="42" t="s">
        <v>168</v>
      </c>
      <c r="B64" s="28" t="s">
        <v>28</v>
      </c>
      <c r="C64" s="29">
        <v>14</v>
      </c>
    </row>
    <row r="65" spans="1:3" x14ac:dyDescent="0.25">
      <c r="A65" s="42" t="s">
        <v>175</v>
      </c>
      <c r="B65" s="34" t="s">
        <v>28</v>
      </c>
      <c r="C65" s="29">
        <v>14</v>
      </c>
    </row>
    <row r="66" spans="1:3" x14ac:dyDescent="0.25">
      <c r="A66" s="42" t="s">
        <v>176</v>
      </c>
      <c r="B66" s="28" t="s">
        <v>28</v>
      </c>
      <c r="C66" s="29">
        <v>14</v>
      </c>
    </row>
    <row r="67" spans="1:3" x14ac:dyDescent="0.25">
      <c r="A67" s="42" t="s">
        <v>192</v>
      </c>
      <c r="B67" s="28" t="s">
        <v>28</v>
      </c>
      <c r="C67" s="29">
        <v>14</v>
      </c>
    </row>
    <row r="68" spans="1:3" x14ac:dyDescent="0.25">
      <c r="A68" s="14" t="s">
        <v>161</v>
      </c>
      <c r="B68" s="25" t="s">
        <v>49</v>
      </c>
      <c r="C68" s="22">
        <v>13</v>
      </c>
    </row>
    <row r="69" spans="1:3" x14ac:dyDescent="0.25">
      <c r="A69" s="14" t="s">
        <v>166</v>
      </c>
      <c r="B69" s="2" t="s">
        <v>49</v>
      </c>
      <c r="C69" s="22">
        <v>13</v>
      </c>
    </row>
    <row r="70" spans="1:3" x14ac:dyDescent="0.25">
      <c r="A70" s="14" t="s">
        <v>155</v>
      </c>
      <c r="B70" s="2" t="s">
        <v>207</v>
      </c>
      <c r="C70" s="22">
        <v>13</v>
      </c>
    </row>
    <row r="71" spans="1:3" x14ac:dyDescent="0.25">
      <c r="A71" s="14" t="s">
        <v>144</v>
      </c>
      <c r="B71" s="2" t="s">
        <v>49</v>
      </c>
      <c r="C71" s="22">
        <v>13</v>
      </c>
    </row>
    <row r="72" spans="1:3" x14ac:dyDescent="0.25">
      <c r="A72" s="14" t="s">
        <v>146</v>
      </c>
      <c r="B72" s="2" t="s">
        <v>49</v>
      </c>
      <c r="C72" s="22">
        <v>13</v>
      </c>
    </row>
    <row r="73" spans="1:3" x14ac:dyDescent="0.25">
      <c r="A73" s="14" t="s">
        <v>157</v>
      </c>
      <c r="B73" s="2" t="s">
        <v>49</v>
      </c>
      <c r="C73" s="22">
        <v>13</v>
      </c>
    </row>
    <row r="74" spans="1:3" x14ac:dyDescent="0.25">
      <c r="A74" s="14" t="s">
        <v>42</v>
      </c>
      <c r="B74" s="39" t="s">
        <v>49</v>
      </c>
      <c r="C74" s="22">
        <v>13</v>
      </c>
    </row>
    <row r="75" spans="1:3" x14ac:dyDescent="0.25">
      <c r="A75" s="42" t="s">
        <v>188</v>
      </c>
      <c r="B75" s="28" t="s">
        <v>56</v>
      </c>
      <c r="C75" s="29">
        <v>12</v>
      </c>
    </row>
    <row r="76" spans="1:3" x14ac:dyDescent="0.25">
      <c r="A76" s="43" t="s">
        <v>186</v>
      </c>
      <c r="B76" s="28" t="s">
        <v>56</v>
      </c>
      <c r="C76" s="29">
        <v>12</v>
      </c>
    </row>
    <row r="77" spans="1:3" x14ac:dyDescent="0.25">
      <c r="A77" s="42" t="s">
        <v>194</v>
      </c>
      <c r="B77" s="34" t="s">
        <v>61</v>
      </c>
      <c r="C77" s="29">
        <v>11</v>
      </c>
    </row>
    <row r="78" spans="1:3" x14ac:dyDescent="0.25">
      <c r="A78" s="42" t="s">
        <v>162</v>
      </c>
      <c r="B78" s="38" t="s">
        <v>61</v>
      </c>
      <c r="C78" s="29">
        <v>11</v>
      </c>
    </row>
    <row r="79" spans="1:3" x14ac:dyDescent="0.25">
      <c r="A79" s="42" t="s">
        <v>57</v>
      </c>
      <c r="B79" s="34" t="s">
        <v>129</v>
      </c>
      <c r="C79" s="29">
        <v>3</v>
      </c>
    </row>
    <row r="80" spans="1:3" x14ac:dyDescent="0.25">
      <c r="A80" s="42" t="s">
        <v>180</v>
      </c>
      <c r="B80" s="38" t="s">
        <v>86</v>
      </c>
      <c r="C80" s="29">
        <v>1</v>
      </c>
    </row>
    <row r="81" spans="1:3" x14ac:dyDescent="0.25">
      <c r="A81" s="14" t="s">
        <v>160</v>
      </c>
      <c r="B81" s="2"/>
      <c r="C81" s="22"/>
    </row>
    <row r="82" spans="1:3" x14ac:dyDescent="0.25">
      <c r="A82" s="14" t="s">
        <v>76</v>
      </c>
      <c r="B82" s="25"/>
      <c r="C82" s="22"/>
    </row>
    <row r="83" spans="1:3" x14ac:dyDescent="0.25">
      <c r="A83" s="44" t="s">
        <v>74</v>
      </c>
      <c r="B83" s="2"/>
      <c r="C83" s="22"/>
    </row>
    <row r="84" spans="1:3" x14ac:dyDescent="0.25">
      <c r="A84" s="14" t="s">
        <v>169</v>
      </c>
      <c r="B84" s="2"/>
      <c r="C84" s="22"/>
    </row>
    <row r="85" spans="1:3" x14ac:dyDescent="0.25">
      <c r="A85" s="35" t="s">
        <v>134</v>
      </c>
      <c r="B85" s="45" t="s">
        <v>16</v>
      </c>
      <c r="C85" s="46">
        <f>SUM(C9:C80)/72</f>
        <v>14.847222222222221</v>
      </c>
    </row>
    <row r="86" spans="1:3" x14ac:dyDescent="0.25">
      <c r="A86" s="5"/>
    </row>
    <row r="87" spans="1:3" x14ac:dyDescent="0.25">
      <c r="A87" s="2" t="s">
        <v>83</v>
      </c>
    </row>
    <row r="88" spans="1:3" x14ac:dyDescent="0.25">
      <c r="A88" s="2" t="s">
        <v>85</v>
      </c>
    </row>
    <row r="89" spans="1:3" x14ac:dyDescent="0.25">
      <c r="A89" s="2" t="s">
        <v>211</v>
      </c>
    </row>
    <row r="91" spans="1:3" x14ac:dyDescent="0.25">
      <c r="A91" s="2" t="s">
        <v>213</v>
      </c>
    </row>
    <row r="92" spans="1:3" x14ac:dyDescent="0.25">
      <c r="A92" s="33" t="s">
        <v>208</v>
      </c>
    </row>
    <row r="93" spans="1:3" x14ac:dyDescent="0.25">
      <c r="A93" s="33" t="s">
        <v>209</v>
      </c>
    </row>
    <row r="94" spans="1:3" x14ac:dyDescent="0.25">
      <c r="A94" s="33" t="s">
        <v>210</v>
      </c>
    </row>
    <row r="95" spans="1:3" x14ac:dyDescent="0.25">
      <c r="A95" s="33" t="s">
        <v>212</v>
      </c>
    </row>
    <row r="96" spans="1:3" x14ac:dyDescent="0.25">
      <c r="A96" s="33" t="s">
        <v>214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C7" sqref="C7:C4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43830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0.75341066608302332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0.89382480973851397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0.93724659813973221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0.67555788005578798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0.98392179080292563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0.91729330470491532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370</v>
      </c>
      <c r="F14" s="434">
        <v>0.79954287649200029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0.8782650817900659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0.83854749565247333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0.93715188550416539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0.95811902239722313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0.91896430580600108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0.62081022908215111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0.97522517198174985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0.4647919488701952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0.97785912517931628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0.55383656431637451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0.85890230123593436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0.53566542896228264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0.89374575238969445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0.91403535825403892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0.8495466430916675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0.99412724988198942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0.98811295971978985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0.69696207835742718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371</v>
      </c>
      <c r="F42" s="434">
        <v>0.75814539639907796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0.86562763268744736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0.98672308141231391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0.96785287166898415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0.99254249046132492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0.79816601745944316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0.97282777146399424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0.77897272391080552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0.92067396198278173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0">
    <tabColor rgb="FF92D050"/>
  </sheetPr>
  <dimension ref="A1:D41"/>
  <sheetViews>
    <sheetView zoomScale="90" zoomScaleNormal="90" workbookViewId="0"/>
  </sheetViews>
  <sheetFormatPr defaultColWidth="9.109375" defaultRowHeight="13.8" x14ac:dyDescent="0.3"/>
  <cols>
    <col min="1" max="1" width="19.33203125" style="86" customWidth="1"/>
    <col min="2" max="2" width="9" style="118" customWidth="1"/>
    <col min="3" max="3" width="6.44140625" style="118" customWidth="1"/>
    <col min="4" max="4" width="8" style="118" customWidth="1"/>
    <col min="5" max="16384" width="9.109375" style="86"/>
  </cols>
  <sheetData>
    <row r="1" spans="1:4" ht="18" x14ac:dyDescent="0.35">
      <c r="A1" s="75" t="s">
        <v>244</v>
      </c>
    </row>
    <row r="4" spans="1:4" x14ac:dyDescent="0.3">
      <c r="A4" s="122" t="s">
        <v>245</v>
      </c>
      <c r="B4" s="205" t="s">
        <v>99</v>
      </c>
      <c r="C4" s="205" t="s">
        <v>90</v>
      </c>
      <c r="D4" s="205" t="s">
        <v>100</v>
      </c>
    </row>
    <row r="5" spans="1:4" x14ac:dyDescent="0.3">
      <c r="A5" s="123"/>
      <c r="B5" s="206" t="s">
        <v>101</v>
      </c>
      <c r="C5" s="206" t="s">
        <v>102</v>
      </c>
      <c r="D5" s="206" t="s">
        <v>102</v>
      </c>
    </row>
    <row r="6" spans="1:4" x14ac:dyDescent="0.3">
      <c r="A6" s="123"/>
      <c r="B6" s="206"/>
      <c r="C6" s="206"/>
      <c r="D6" s="206"/>
    </row>
    <row r="7" spans="1:4" x14ac:dyDescent="0.3">
      <c r="A7" s="124"/>
      <c r="B7" s="206" t="s">
        <v>103</v>
      </c>
      <c r="C7" s="206" t="s">
        <v>104</v>
      </c>
      <c r="D7" s="206" t="s">
        <v>104</v>
      </c>
    </row>
    <row r="8" spans="1:4" x14ac:dyDescent="0.3">
      <c r="A8" s="117"/>
      <c r="B8" s="206" t="s">
        <v>105</v>
      </c>
      <c r="C8" s="206" t="s">
        <v>106</v>
      </c>
      <c r="D8" s="206" t="s">
        <v>106</v>
      </c>
    </row>
    <row r="9" spans="1:4" x14ac:dyDescent="0.3">
      <c r="A9" s="117"/>
      <c r="B9" s="206" t="s">
        <v>107</v>
      </c>
      <c r="C9" s="206" t="s">
        <v>108</v>
      </c>
      <c r="D9" s="206" t="s">
        <v>108</v>
      </c>
    </row>
    <row r="10" spans="1:4" x14ac:dyDescent="0.3">
      <c r="A10" s="124"/>
      <c r="B10" s="206"/>
      <c r="C10" s="206"/>
      <c r="D10" s="206"/>
    </row>
    <row r="11" spans="1:4" x14ac:dyDescent="0.3">
      <c r="A11" s="124"/>
      <c r="B11" s="206" t="s">
        <v>109</v>
      </c>
      <c r="C11" s="206" t="s">
        <v>110</v>
      </c>
      <c r="D11" s="206" t="s">
        <v>110</v>
      </c>
    </row>
    <row r="12" spans="1:4" x14ac:dyDescent="0.3">
      <c r="A12" s="124"/>
      <c r="B12" s="206" t="s">
        <v>111</v>
      </c>
      <c r="C12" s="206" t="s">
        <v>2</v>
      </c>
      <c r="D12" s="206" t="s">
        <v>2</v>
      </c>
    </row>
    <row r="13" spans="1:4" x14ac:dyDescent="0.3">
      <c r="A13" s="124"/>
      <c r="B13" s="206" t="s">
        <v>112</v>
      </c>
      <c r="C13" s="206" t="s">
        <v>10</v>
      </c>
      <c r="D13" s="206" t="s">
        <v>10</v>
      </c>
    </row>
    <row r="14" spans="1:4" x14ac:dyDescent="0.3">
      <c r="A14" s="124"/>
      <c r="B14" s="206"/>
      <c r="C14" s="206"/>
      <c r="D14" s="206"/>
    </row>
    <row r="15" spans="1:4" x14ac:dyDescent="0.3">
      <c r="A15" s="124"/>
      <c r="B15" s="206" t="s">
        <v>113</v>
      </c>
      <c r="C15" s="206" t="s">
        <v>16</v>
      </c>
      <c r="D15" s="206" t="s">
        <v>16</v>
      </c>
    </row>
    <row r="16" spans="1:4" x14ac:dyDescent="0.3">
      <c r="A16" s="124"/>
      <c r="B16" s="206" t="s">
        <v>114</v>
      </c>
      <c r="C16" s="206" t="s">
        <v>28</v>
      </c>
      <c r="D16" s="206" t="s">
        <v>28</v>
      </c>
    </row>
    <row r="17" spans="1:4" x14ac:dyDescent="0.3">
      <c r="A17" s="124"/>
      <c r="B17" s="206" t="s">
        <v>115</v>
      </c>
      <c r="C17" s="206" t="s">
        <v>49</v>
      </c>
      <c r="D17" s="206" t="s">
        <v>49</v>
      </c>
    </row>
    <row r="18" spans="1:4" x14ac:dyDescent="0.3">
      <c r="A18" s="124"/>
      <c r="B18" s="206"/>
      <c r="C18" s="206"/>
      <c r="D18" s="206"/>
    </row>
    <row r="19" spans="1:4" x14ac:dyDescent="0.3">
      <c r="A19" s="122" t="s">
        <v>246</v>
      </c>
      <c r="B19" s="205" t="s">
        <v>99</v>
      </c>
      <c r="C19" s="205" t="s">
        <v>90</v>
      </c>
      <c r="D19" s="205" t="s">
        <v>100</v>
      </c>
    </row>
    <row r="20" spans="1:4" x14ac:dyDescent="0.3">
      <c r="A20" s="125"/>
      <c r="B20" s="123"/>
      <c r="C20" s="123"/>
      <c r="D20" s="123"/>
    </row>
    <row r="21" spans="1:4" x14ac:dyDescent="0.3">
      <c r="A21" s="124"/>
      <c r="B21" s="206" t="s">
        <v>116</v>
      </c>
      <c r="C21" s="206" t="s">
        <v>56</v>
      </c>
      <c r="D21" s="206" t="s">
        <v>56</v>
      </c>
    </row>
    <row r="22" spans="1:4" x14ac:dyDescent="0.3">
      <c r="A22" s="124"/>
      <c r="B22" s="206" t="s">
        <v>117</v>
      </c>
      <c r="C22" s="206" t="s">
        <v>61</v>
      </c>
      <c r="D22" s="206" t="s">
        <v>61</v>
      </c>
    </row>
    <row r="23" spans="1:4" x14ac:dyDescent="0.3">
      <c r="A23" s="124"/>
      <c r="B23" s="206" t="s">
        <v>118</v>
      </c>
      <c r="C23" s="206" t="s">
        <v>65</v>
      </c>
      <c r="D23" s="206" t="s">
        <v>65</v>
      </c>
    </row>
    <row r="24" spans="1:4" x14ac:dyDescent="0.3">
      <c r="A24" s="124"/>
      <c r="B24" s="206"/>
      <c r="C24" s="206"/>
      <c r="D24" s="206"/>
    </row>
    <row r="25" spans="1:4" x14ac:dyDescent="0.3">
      <c r="A25" s="123"/>
      <c r="B25" s="206" t="s">
        <v>119</v>
      </c>
      <c r="C25" s="206" t="s">
        <v>68</v>
      </c>
      <c r="D25" s="206" t="s">
        <v>68</v>
      </c>
    </row>
    <row r="26" spans="1:4" x14ac:dyDescent="0.3">
      <c r="A26" s="124"/>
      <c r="B26" s="206" t="s">
        <v>120</v>
      </c>
      <c r="C26" s="206" t="s">
        <v>78</v>
      </c>
      <c r="D26" s="206" t="s">
        <v>78</v>
      </c>
    </row>
    <row r="27" spans="1:4" x14ac:dyDescent="0.3">
      <c r="A27" s="124"/>
      <c r="B27" s="206" t="s">
        <v>121</v>
      </c>
      <c r="C27" s="206" t="s">
        <v>71</v>
      </c>
      <c r="D27" s="206" t="s">
        <v>71</v>
      </c>
    </row>
    <row r="28" spans="1:4" x14ac:dyDescent="0.3">
      <c r="A28" s="124"/>
      <c r="B28" s="206"/>
      <c r="C28" s="206"/>
      <c r="D28" s="206"/>
    </row>
    <row r="29" spans="1:4" x14ac:dyDescent="0.3">
      <c r="A29" s="124"/>
      <c r="B29" s="206" t="s">
        <v>122</v>
      </c>
      <c r="C29" s="206" t="s">
        <v>123</v>
      </c>
      <c r="D29" s="206" t="s">
        <v>123</v>
      </c>
    </row>
    <row r="30" spans="1:4" x14ac:dyDescent="0.3">
      <c r="A30" s="124"/>
      <c r="B30" s="206" t="s">
        <v>124</v>
      </c>
      <c r="C30" s="206" t="s">
        <v>125</v>
      </c>
      <c r="D30" s="206" t="s">
        <v>125</v>
      </c>
    </row>
    <row r="31" spans="1:4" x14ac:dyDescent="0.3">
      <c r="A31" s="124"/>
      <c r="B31" s="206" t="s">
        <v>126</v>
      </c>
      <c r="C31" s="206" t="s">
        <v>127</v>
      </c>
      <c r="D31" s="206" t="s">
        <v>127</v>
      </c>
    </row>
    <row r="32" spans="1:4" x14ac:dyDescent="0.3">
      <c r="A32" s="124"/>
      <c r="B32" s="206"/>
      <c r="C32" s="206"/>
      <c r="D32" s="206"/>
    </row>
    <row r="33" spans="1:4" x14ac:dyDescent="0.3">
      <c r="A33" s="124"/>
      <c r="B33" s="206" t="s">
        <v>128</v>
      </c>
      <c r="C33" s="206" t="s">
        <v>129</v>
      </c>
      <c r="D33" s="206" t="s">
        <v>129</v>
      </c>
    </row>
    <row r="34" spans="1:4" x14ac:dyDescent="0.3">
      <c r="A34" s="124"/>
      <c r="B34" s="206"/>
      <c r="C34" s="206"/>
      <c r="D34" s="206"/>
    </row>
    <row r="35" spans="1:4" x14ac:dyDescent="0.3">
      <c r="A35" s="124"/>
      <c r="B35" s="206" t="s">
        <v>130</v>
      </c>
      <c r="C35" s="206" t="s">
        <v>130</v>
      </c>
      <c r="D35" s="206" t="s">
        <v>130</v>
      </c>
    </row>
    <row r="36" spans="1:4" x14ac:dyDescent="0.3">
      <c r="A36" s="124"/>
      <c r="B36" s="206"/>
      <c r="C36" s="206"/>
      <c r="D36" s="206"/>
    </row>
    <row r="37" spans="1:4" x14ac:dyDescent="0.3">
      <c r="A37" s="122" t="s">
        <v>131</v>
      </c>
      <c r="B37" s="205" t="s">
        <v>99</v>
      </c>
      <c r="C37" s="205" t="s">
        <v>90</v>
      </c>
      <c r="D37" s="205" t="s">
        <v>100</v>
      </c>
    </row>
    <row r="38" spans="1:4" x14ac:dyDescent="0.3">
      <c r="A38" s="123"/>
      <c r="B38" s="206" t="s">
        <v>130</v>
      </c>
      <c r="C38" s="206" t="s">
        <v>86</v>
      </c>
      <c r="D38" s="206" t="s">
        <v>86</v>
      </c>
    </row>
    <row r="39" spans="1:4" x14ac:dyDescent="0.3">
      <c r="A39" s="85"/>
      <c r="B39" s="206"/>
      <c r="C39" s="206"/>
      <c r="D39" s="206"/>
    </row>
    <row r="41" spans="1:4" x14ac:dyDescent="0.3">
      <c r="A41" s="85" t="s">
        <v>132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43465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0.76524685382381419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0.88621159082069223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0.95201648770108205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0.69136071128796595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0.99109013007351743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0.93619788356916167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0.58541883086221558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0.89220922173753514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0.8352930267062314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370</v>
      </c>
      <c r="F17" s="434">
        <v>0.81665445234489309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0.76827050264550267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0.9443739938290423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0.9275423258872395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0.93038262132394411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0.61466916250229808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0.97581309437635722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0.45539375571722057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0.97989049867815681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0.57092590128089005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370</v>
      </c>
      <c r="F30" s="434">
        <v>0.82291018184487918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0.51574704441572972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0.88342505962208773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0.99916164337740787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0.90286176804421048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0.84215331712234287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0.99440229453897766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0.9916812609457093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0.68633896659753779</v>
      </c>
    </row>
    <row r="42" spans="2:6" s="226" customFormat="1" x14ac:dyDescent="0.25">
      <c r="B42" s="447">
        <v>36</v>
      </c>
      <c r="C42" s="448" t="s">
        <v>25</v>
      </c>
      <c r="D42" s="449" t="s">
        <v>328</v>
      </c>
      <c r="E42" s="450" t="s">
        <v>370</v>
      </c>
      <c r="F42" s="434">
        <v>0.81662392724034438</v>
      </c>
    </row>
    <row r="43" spans="2:6" s="226" customFormat="1" x14ac:dyDescent="0.25">
      <c r="B43" s="447">
        <v>37</v>
      </c>
      <c r="C43" s="448" t="s">
        <v>7</v>
      </c>
      <c r="D43" s="449" t="s">
        <v>327</v>
      </c>
      <c r="E43" s="450" t="s">
        <v>370</v>
      </c>
      <c r="F43" s="434">
        <v>0.86242879381425663</v>
      </c>
    </row>
    <row r="44" spans="2:6" s="226" customFormat="1" x14ac:dyDescent="0.25">
      <c r="B44" s="447">
        <v>38</v>
      </c>
      <c r="C44" s="448" t="s">
        <v>76</v>
      </c>
      <c r="D44" s="449" t="s">
        <v>333</v>
      </c>
      <c r="E44" s="450" t="s">
        <v>370</v>
      </c>
      <c r="F44" s="434">
        <v>0.96148809982284522</v>
      </c>
    </row>
    <row r="45" spans="2:6" s="226" customFormat="1" x14ac:dyDescent="0.25">
      <c r="B45" s="447">
        <v>39</v>
      </c>
      <c r="C45" s="448" t="s">
        <v>537</v>
      </c>
      <c r="D45" s="449" t="s">
        <v>335</v>
      </c>
      <c r="E45" s="450" t="s">
        <v>370</v>
      </c>
      <c r="F45" s="434">
        <v>0.97692960287730257</v>
      </c>
    </row>
    <row r="46" spans="2:6" s="226" customFormat="1" x14ac:dyDescent="0.25">
      <c r="B46" s="447">
        <v>40</v>
      </c>
      <c r="C46" s="448" t="s">
        <v>257</v>
      </c>
      <c r="D46" s="449" t="s">
        <v>337</v>
      </c>
      <c r="E46" s="450" t="s">
        <v>370</v>
      </c>
      <c r="F46" s="434">
        <v>0.99316000000000004</v>
      </c>
    </row>
    <row r="47" spans="2:6" s="226" customFormat="1" x14ac:dyDescent="0.25">
      <c r="B47" s="447"/>
      <c r="C47" s="448"/>
      <c r="D47" s="449"/>
      <c r="E47" s="450"/>
      <c r="F47" s="434"/>
    </row>
    <row r="48" spans="2:6" s="226" customFormat="1" x14ac:dyDescent="0.25">
      <c r="B48" s="447"/>
      <c r="C48" s="448"/>
      <c r="D48" s="449"/>
      <c r="E48" s="450"/>
      <c r="F48" s="434"/>
    </row>
    <row r="49" spans="2:6" s="226" customFormat="1" x14ac:dyDescent="0.25">
      <c r="B49" s="447"/>
      <c r="C49" s="448"/>
      <c r="D49" s="449"/>
      <c r="E49" s="450"/>
      <c r="F49" s="434"/>
    </row>
    <row r="50" spans="2:6" s="226" customFormat="1" x14ac:dyDescent="0.25">
      <c r="B50" s="447"/>
      <c r="C50" s="448"/>
      <c r="D50" s="449"/>
      <c r="E50" s="450"/>
      <c r="F50" s="434"/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0.9072583113322833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0.9662790080186926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0.78704617687576606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0.92185000000000006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43100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0.76507874015748034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0.88780501557676317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0.95447333579487414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0.67604433077578863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0.98945261528574735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0.95101880159822139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0.58622816961747914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0.91301518438177875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0.8738749974018416</v>
      </c>
    </row>
    <row r="17" spans="2:6" s="226" customFormat="1" x14ac:dyDescent="0.25">
      <c r="B17" s="447">
        <v>11</v>
      </c>
      <c r="C17" s="448" t="s">
        <v>561</v>
      </c>
      <c r="D17" s="449" t="s">
        <v>86</v>
      </c>
      <c r="E17" s="450" t="s">
        <v>371</v>
      </c>
      <c r="F17" s="434">
        <v>0.71946631853785892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0.77694198477803778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0.86592369157590954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36</v>
      </c>
      <c r="D22" s="449" t="s">
        <v>296</v>
      </c>
      <c r="E22" s="450" t="s">
        <v>370</v>
      </c>
      <c r="F22" s="434">
        <v>0.92017324799678957</v>
      </c>
    </row>
    <row r="23" spans="2:6" s="226" customFormat="1" x14ac:dyDescent="0.25">
      <c r="B23" s="447">
        <v>17</v>
      </c>
      <c r="C23" s="448" t="s">
        <v>565</v>
      </c>
      <c r="D23" s="449" t="s">
        <v>566</v>
      </c>
      <c r="E23" s="450" t="s">
        <v>370</v>
      </c>
      <c r="F23" s="434">
        <v>1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0.89029386754425666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0.60194515852613539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0.88162907920581202</v>
      </c>
    </row>
    <row r="27" spans="2:6" s="226" customFormat="1" x14ac:dyDescent="0.25">
      <c r="B27" s="447">
        <v>21</v>
      </c>
      <c r="C27" s="448" t="s">
        <v>39</v>
      </c>
      <c r="D27" s="449" t="s">
        <v>301</v>
      </c>
      <c r="E27" s="450" t="s">
        <v>371</v>
      </c>
      <c r="F27" s="434">
        <v>0.47300476006249853</v>
      </c>
    </row>
    <row r="28" spans="2:6" s="226" customFormat="1" x14ac:dyDescent="0.25">
      <c r="B28" s="447">
        <v>22</v>
      </c>
      <c r="C28" s="448" t="s">
        <v>20</v>
      </c>
      <c r="D28" s="449" t="s">
        <v>302</v>
      </c>
      <c r="E28" s="450" t="s">
        <v>370</v>
      </c>
      <c r="F28" s="434">
        <v>0.99173421797216232</v>
      </c>
    </row>
    <row r="29" spans="2:6" s="226" customFormat="1" x14ac:dyDescent="0.25">
      <c r="B29" s="447">
        <v>23</v>
      </c>
      <c r="C29" s="448" t="s">
        <v>12</v>
      </c>
      <c r="D29" s="449" t="s">
        <v>308</v>
      </c>
      <c r="E29" s="450" t="s">
        <v>371</v>
      </c>
      <c r="F29" s="434">
        <v>0.57966797302336071</v>
      </c>
    </row>
    <row r="30" spans="2:6" s="226" customFormat="1" x14ac:dyDescent="0.25">
      <c r="B30" s="447">
        <v>24</v>
      </c>
      <c r="C30" s="448" t="s">
        <v>74</v>
      </c>
      <c r="D30" s="449" t="s">
        <v>309</v>
      </c>
      <c r="E30" s="450" t="s">
        <v>371</v>
      </c>
      <c r="F30" s="434">
        <v>0.7812176918491015</v>
      </c>
    </row>
    <row r="31" spans="2:6" s="226" customFormat="1" x14ac:dyDescent="0.25">
      <c r="B31" s="447">
        <v>25</v>
      </c>
      <c r="C31" s="448" t="s">
        <v>369</v>
      </c>
      <c r="D31" s="449" t="s">
        <v>368</v>
      </c>
      <c r="E31" s="450" t="s">
        <v>371</v>
      </c>
      <c r="F31" s="434">
        <v>0.51360053972829589</v>
      </c>
    </row>
    <row r="32" spans="2:6" s="226" customFormat="1" x14ac:dyDescent="0.25">
      <c r="B32" s="447">
        <v>26</v>
      </c>
      <c r="C32" s="448" t="s">
        <v>40</v>
      </c>
      <c r="D32" s="449" t="s">
        <v>310</v>
      </c>
      <c r="E32" s="450" t="s">
        <v>370</v>
      </c>
      <c r="F32" s="434">
        <v>0.87805146856229688</v>
      </c>
    </row>
    <row r="33" spans="2:6" s="226" customFormat="1" x14ac:dyDescent="0.25">
      <c r="B33" s="447">
        <v>27</v>
      </c>
      <c r="C33" s="448" t="s">
        <v>66</v>
      </c>
      <c r="D33" s="449" t="s">
        <v>314</v>
      </c>
      <c r="E33" s="450" t="s">
        <v>370</v>
      </c>
      <c r="F33" s="434">
        <v>0.99952295893849685</v>
      </c>
    </row>
    <row r="34" spans="2:6" s="226" customFormat="1" x14ac:dyDescent="0.25">
      <c r="B34" s="447">
        <v>28</v>
      </c>
      <c r="C34" s="448" t="s">
        <v>21</v>
      </c>
      <c r="D34" s="449" t="s">
        <v>315</v>
      </c>
      <c r="E34" s="450" t="s">
        <v>370</v>
      </c>
      <c r="F34" s="434">
        <v>0.88887608401279206</v>
      </c>
    </row>
    <row r="35" spans="2:6" s="226" customFormat="1" x14ac:dyDescent="0.25">
      <c r="B35" s="447">
        <v>29</v>
      </c>
      <c r="C35" s="448" t="s">
        <v>22</v>
      </c>
      <c r="D35" s="449" t="s">
        <v>316</v>
      </c>
      <c r="E35" s="450" t="s">
        <v>370</v>
      </c>
      <c r="F35" s="434">
        <v>0.84330816383755158</v>
      </c>
    </row>
    <row r="36" spans="2:6" s="226" customFormat="1" x14ac:dyDescent="0.25">
      <c r="B36" s="447">
        <v>30</v>
      </c>
      <c r="C36" s="448" t="s">
        <v>53</v>
      </c>
      <c r="D36" s="449" t="s">
        <v>317</v>
      </c>
      <c r="E36" s="450" t="s">
        <v>370</v>
      </c>
      <c r="F36" s="434">
        <v>1</v>
      </c>
    </row>
    <row r="37" spans="2:6" s="226" customFormat="1" x14ac:dyDescent="0.25">
      <c r="B37" s="447">
        <v>31</v>
      </c>
      <c r="C37" s="448" t="s">
        <v>41</v>
      </c>
      <c r="D37" s="449" t="s">
        <v>321</v>
      </c>
      <c r="E37" s="450" t="s">
        <v>370</v>
      </c>
      <c r="F37" s="434">
        <v>0.99263585427228107</v>
      </c>
    </row>
    <row r="38" spans="2:6" s="226" customFormat="1" x14ac:dyDescent="0.25">
      <c r="B38" s="447">
        <v>32</v>
      </c>
      <c r="C38" s="448" t="s">
        <v>42</v>
      </c>
      <c r="D38" s="449" t="s">
        <v>320</v>
      </c>
      <c r="E38" s="450" t="s">
        <v>370</v>
      </c>
      <c r="F38" s="434">
        <v>1</v>
      </c>
    </row>
    <row r="39" spans="2:6" s="226" customFormat="1" x14ac:dyDescent="0.25">
      <c r="B39" s="447">
        <v>33</v>
      </c>
      <c r="C39" s="448" t="s">
        <v>24</v>
      </c>
      <c r="D39" s="449" t="s">
        <v>323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43</v>
      </c>
      <c r="D40" s="449" t="s">
        <v>324</v>
      </c>
      <c r="E40" s="450" t="s">
        <v>370</v>
      </c>
      <c r="F40" s="434">
        <v>0.99720340413221153</v>
      </c>
    </row>
    <row r="41" spans="2:6" s="226" customFormat="1" x14ac:dyDescent="0.25">
      <c r="B41" s="447">
        <v>35</v>
      </c>
      <c r="C41" s="448" t="s">
        <v>45</v>
      </c>
      <c r="D41" s="449" t="s">
        <v>318</v>
      </c>
      <c r="E41" s="450" t="s">
        <v>371</v>
      </c>
      <c r="F41" s="434">
        <v>0.66846146642944082</v>
      </c>
    </row>
    <row r="42" spans="2:6" s="226" customFormat="1" x14ac:dyDescent="0.25">
      <c r="B42" s="447">
        <v>36</v>
      </c>
      <c r="C42" s="448" t="s">
        <v>13</v>
      </c>
      <c r="D42" s="449" t="s">
        <v>326</v>
      </c>
      <c r="E42" s="450" t="s">
        <v>370</v>
      </c>
      <c r="F42" s="434">
        <v>0.81317039329740115</v>
      </c>
    </row>
    <row r="43" spans="2:6" s="226" customFormat="1" x14ac:dyDescent="0.25">
      <c r="B43" s="447">
        <v>37</v>
      </c>
      <c r="C43" s="448" t="s">
        <v>25</v>
      </c>
      <c r="D43" s="449" t="s">
        <v>328</v>
      </c>
      <c r="E43" s="450" t="s">
        <v>371</v>
      </c>
      <c r="F43" s="434">
        <v>0.73605438826073821</v>
      </c>
    </row>
    <row r="44" spans="2:6" s="226" customFormat="1" x14ac:dyDescent="0.25">
      <c r="B44" s="447">
        <v>38</v>
      </c>
      <c r="C44" s="448" t="s">
        <v>7</v>
      </c>
      <c r="D44" s="449" t="s">
        <v>327</v>
      </c>
      <c r="E44" s="450" t="s">
        <v>370</v>
      </c>
      <c r="F44" s="434">
        <v>0.85753794874104772</v>
      </c>
    </row>
    <row r="45" spans="2:6" s="226" customFormat="1" x14ac:dyDescent="0.25">
      <c r="B45" s="447">
        <v>39</v>
      </c>
      <c r="C45" s="448" t="s">
        <v>76</v>
      </c>
      <c r="D45" s="449" t="s">
        <v>333</v>
      </c>
      <c r="E45" s="450" t="s">
        <v>370</v>
      </c>
      <c r="F45" s="434">
        <v>0.95917545696110795</v>
      </c>
    </row>
    <row r="46" spans="2:6" s="226" customFormat="1" x14ac:dyDescent="0.25">
      <c r="B46" s="447">
        <v>40</v>
      </c>
      <c r="C46" s="448" t="s">
        <v>14</v>
      </c>
      <c r="D46" s="449" t="s">
        <v>334</v>
      </c>
      <c r="E46" s="450" t="s">
        <v>370</v>
      </c>
      <c r="F46" s="434">
        <v>0.84594425656724326</v>
      </c>
    </row>
    <row r="47" spans="2:6" s="226" customFormat="1" x14ac:dyDescent="0.25">
      <c r="B47" s="447">
        <v>41</v>
      </c>
      <c r="C47" s="448" t="s">
        <v>537</v>
      </c>
      <c r="D47" s="449" t="s">
        <v>335</v>
      </c>
      <c r="E47" s="450" t="s">
        <v>370</v>
      </c>
      <c r="F47" s="434">
        <v>0.98266884031591772</v>
      </c>
    </row>
    <row r="48" spans="2:6" s="226" customFormat="1" x14ac:dyDescent="0.25">
      <c r="B48" s="447">
        <v>42</v>
      </c>
      <c r="C48" s="448" t="s">
        <v>257</v>
      </c>
      <c r="D48" s="449" t="s">
        <v>337</v>
      </c>
      <c r="E48" s="450" t="s">
        <v>370</v>
      </c>
      <c r="F48" s="434">
        <v>0.99316000000000004</v>
      </c>
    </row>
    <row r="49" spans="2:6" s="226" customFormat="1" x14ac:dyDescent="0.25">
      <c r="B49" s="447"/>
      <c r="C49" s="466"/>
      <c r="D49" s="467"/>
      <c r="E49" s="468"/>
      <c r="F49" s="469"/>
    </row>
    <row r="50" spans="2:6" s="226" customFormat="1" x14ac:dyDescent="0.25">
      <c r="B50" s="447"/>
      <c r="C50" s="470" t="s">
        <v>260</v>
      </c>
      <c r="D50" s="471" t="s">
        <v>300</v>
      </c>
      <c r="E50" s="472" t="s">
        <v>370</v>
      </c>
      <c r="F50" s="473">
        <v>0.92375922105651831</v>
      </c>
    </row>
    <row r="51" spans="2:6" s="226" customFormat="1" x14ac:dyDescent="0.25">
      <c r="B51" s="447"/>
      <c r="C51" s="474" t="s">
        <v>59</v>
      </c>
      <c r="D51" s="475" t="s">
        <v>336</v>
      </c>
      <c r="E51" s="476" t="s">
        <v>370</v>
      </c>
      <c r="F51" s="477">
        <v>1</v>
      </c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>
        <v>1</v>
      </c>
      <c r="C53" s="448" t="s">
        <v>551</v>
      </c>
      <c r="D53" s="449" t="s">
        <v>540</v>
      </c>
      <c r="E53" s="450" t="s">
        <v>370</v>
      </c>
      <c r="F53" s="434">
        <v>0.90461810065077275</v>
      </c>
    </row>
    <row r="54" spans="2:6" s="226" customFormat="1" x14ac:dyDescent="0.25">
      <c r="B54" s="447">
        <v>2</v>
      </c>
      <c r="C54" s="448" t="s">
        <v>520</v>
      </c>
      <c r="D54" s="449" t="s">
        <v>442</v>
      </c>
      <c r="E54" s="450" t="s">
        <v>370</v>
      </c>
      <c r="F54" s="434">
        <v>0.82441928557485844</v>
      </c>
    </row>
    <row r="55" spans="2:6" s="226" customFormat="1" x14ac:dyDescent="0.25">
      <c r="B55" s="447">
        <v>3</v>
      </c>
      <c r="C55" s="448" t="s">
        <v>522</v>
      </c>
      <c r="D55" s="449" t="s">
        <v>445</v>
      </c>
      <c r="E55" s="450" t="s">
        <v>370</v>
      </c>
      <c r="F55" s="434">
        <v>1</v>
      </c>
    </row>
    <row r="56" spans="2:6" s="226" customFormat="1" x14ac:dyDescent="0.25">
      <c r="B56" s="447">
        <v>4</v>
      </c>
      <c r="C56" s="448" t="s">
        <v>523</v>
      </c>
      <c r="D56" s="449" t="s">
        <v>446</v>
      </c>
      <c r="E56" s="450" t="s">
        <v>371</v>
      </c>
      <c r="F56" s="434">
        <v>0.78762415750266057</v>
      </c>
    </row>
    <row r="57" spans="2:6" s="226" customFormat="1" x14ac:dyDescent="0.25">
      <c r="B57" s="447">
        <v>5</v>
      </c>
      <c r="C57" s="448" t="s">
        <v>524</v>
      </c>
      <c r="D57" s="449" t="s">
        <v>448</v>
      </c>
      <c r="E57" s="450" t="s">
        <v>370</v>
      </c>
      <c r="F57" s="434">
        <v>0.93376000000000003</v>
      </c>
    </row>
    <row r="58" spans="2:6" s="226" customFormat="1" x14ac:dyDescent="0.25">
      <c r="B58" s="447"/>
      <c r="C58" s="448"/>
      <c r="D58" s="449"/>
      <c r="E58" s="450"/>
      <c r="F58" s="434"/>
    </row>
    <row r="59" spans="2:6" s="226" customFormat="1" x14ac:dyDescent="0.25">
      <c r="B59" s="447"/>
      <c r="C59" s="448"/>
      <c r="D59" s="449"/>
      <c r="E59" s="450"/>
      <c r="F59" s="434"/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42735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v>1</v>
      </c>
      <c r="C7" s="448" t="s">
        <v>15</v>
      </c>
      <c r="D7" s="449" t="s">
        <v>276</v>
      </c>
      <c r="E7" s="450" t="s">
        <v>371</v>
      </c>
      <c r="F7" s="434">
        <v>0.78538235773683363</v>
      </c>
    </row>
    <row r="8" spans="1:6" s="226" customFormat="1" x14ac:dyDescent="0.25">
      <c r="B8" s="447">
        <v>2</v>
      </c>
      <c r="C8" s="448" t="s">
        <v>17</v>
      </c>
      <c r="D8" s="449" t="s">
        <v>306</v>
      </c>
      <c r="E8" s="450" t="s">
        <v>370</v>
      </c>
      <c r="F8" s="434">
        <v>0.90711690020786906</v>
      </c>
    </row>
    <row r="9" spans="1:6" s="226" customFormat="1" x14ac:dyDescent="0.25">
      <c r="B9" s="447"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v>4</v>
      </c>
      <c r="C10" s="448" t="s">
        <v>258</v>
      </c>
      <c r="D10" s="449" t="s">
        <v>274</v>
      </c>
      <c r="E10" s="450" t="s">
        <v>370</v>
      </c>
      <c r="F10" s="434">
        <v>0.92354851365340163</v>
      </c>
    </row>
    <row r="11" spans="1:6" s="226" customFormat="1" x14ac:dyDescent="0.25">
      <c r="B11" s="447">
        <v>5</v>
      </c>
      <c r="C11" s="448" t="s">
        <v>531</v>
      </c>
      <c r="D11" s="449" t="s">
        <v>529</v>
      </c>
      <c r="E11" s="450" t="s">
        <v>371</v>
      </c>
      <c r="F11" s="434">
        <v>0.66284454949056182</v>
      </c>
    </row>
    <row r="12" spans="1:6" s="226" customFormat="1" x14ac:dyDescent="0.25">
      <c r="B12" s="447">
        <v>6</v>
      </c>
      <c r="C12" s="448" t="s">
        <v>55</v>
      </c>
      <c r="D12" s="449" t="s">
        <v>277</v>
      </c>
      <c r="E12" s="450" t="s">
        <v>370</v>
      </c>
      <c r="F12" s="434">
        <v>0.98861906057812454</v>
      </c>
    </row>
    <row r="13" spans="1:6" s="226" customFormat="1" x14ac:dyDescent="0.25">
      <c r="B13" s="447">
        <v>7</v>
      </c>
      <c r="C13" s="448" t="s">
        <v>48</v>
      </c>
      <c r="D13" s="449" t="s">
        <v>279</v>
      </c>
      <c r="E13" s="450" t="s">
        <v>370</v>
      </c>
      <c r="F13" s="434">
        <v>0.94660102979935035</v>
      </c>
    </row>
    <row r="14" spans="1:6" s="226" customFormat="1" x14ac:dyDescent="0.25">
      <c r="B14" s="447">
        <v>8</v>
      </c>
      <c r="C14" s="448" t="s">
        <v>29</v>
      </c>
      <c r="D14" s="449" t="s">
        <v>285</v>
      </c>
      <c r="E14" s="450" t="s">
        <v>371</v>
      </c>
      <c r="F14" s="434">
        <v>0.72648700883119577</v>
      </c>
    </row>
    <row r="15" spans="1:6" s="226" customFormat="1" x14ac:dyDescent="0.25">
      <c r="B15" s="447">
        <v>9</v>
      </c>
      <c r="C15" s="448" t="s">
        <v>60</v>
      </c>
      <c r="D15" s="449" t="s">
        <v>283</v>
      </c>
      <c r="E15" s="450" t="s">
        <v>370</v>
      </c>
      <c r="F15" s="434">
        <v>0.91920266395338079</v>
      </c>
    </row>
    <row r="16" spans="1:6" s="226" customFormat="1" x14ac:dyDescent="0.25">
      <c r="B16" s="447">
        <v>10</v>
      </c>
      <c r="C16" s="448" t="s">
        <v>3</v>
      </c>
      <c r="D16" s="449" t="s">
        <v>291</v>
      </c>
      <c r="E16" s="450" t="s">
        <v>370</v>
      </c>
      <c r="F16" s="434">
        <v>0.87387835457465546</v>
      </c>
    </row>
    <row r="17" spans="2:6" s="226" customFormat="1" x14ac:dyDescent="0.25">
      <c r="B17" s="447">
        <v>11</v>
      </c>
      <c r="C17" s="448" t="s">
        <v>18</v>
      </c>
      <c r="D17" s="449" t="s">
        <v>86</v>
      </c>
      <c r="E17" s="450" t="s">
        <v>371</v>
      </c>
      <c r="F17" s="434">
        <v>0.67019553072625704</v>
      </c>
    </row>
    <row r="18" spans="2:6" s="226" customFormat="1" x14ac:dyDescent="0.25">
      <c r="B18" s="447">
        <v>12</v>
      </c>
      <c r="C18" s="448" t="s">
        <v>31</v>
      </c>
      <c r="D18" s="449" t="s">
        <v>288</v>
      </c>
      <c r="E18" s="450" t="s">
        <v>371</v>
      </c>
      <c r="F18" s="434">
        <v>0.78480696607471678</v>
      </c>
    </row>
    <row r="19" spans="2:6" s="226" customFormat="1" x14ac:dyDescent="0.25">
      <c r="B19" s="447">
        <v>13</v>
      </c>
      <c r="C19" s="448" t="s">
        <v>32</v>
      </c>
      <c r="D19" s="449" t="s">
        <v>289</v>
      </c>
      <c r="E19" s="450" t="s">
        <v>370</v>
      </c>
      <c r="F19" s="434">
        <v>0.86616551547517728</v>
      </c>
    </row>
    <row r="20" spans="2:6" s="226" customFormat="1" x14ac:dyDescent="0.25">
      <c r="B20" s="447">
        <v>14</v>
      </c>
      <c r="C20" s="448" t="s">
        <v>57</v>
      </c>
      <c r="D20" s="449" t="s">
        <v>295</v>
      </c>
      <c r="E20" s="450" t="s">
        <v>370</v>
      </c>
      <c r="F20" s="434">
        <v>1</v>
      </c>
    </row>
    <row r="21" spans="2:6" s="226" customFormat="1" x14ac:dyDescent="0.25">
      <c r="B21" s="447">
        <v>15</v>
      </c>
      <c r="C21" s="448" t="s">
        <v>34</v>
      </c>
      <c r="D21" s="449" t="s">
        <v>293</v>
      </c>
      <c r="E21" s="450" t="s">
        <v>370</v>
      </c>
      <c r="F21" s="434">
        <v>1</v>
      </c>
    </row>
    <row r="22" spans="2:6" s="226" customFormat="1" x14ac:dyDescent="0.25">
      <c r="B22" s="447">
        <v>16</v>
      </c>
      <c r="C22" s="448" t="s">
        <v>35</v>
      </c>
      <c r="D22" s="449" t="s">
        <v>292</v>
      </c>
      <c r="E22" s="450" t="s">
        <v>370</v>
      </c>
      <c r="F22" s="434">
        <v>1</v>
      </c>
    </row>
    <row r="23" spans="2:6" s="226" customFormat="1" x14ac:dyDescent="0.25">
      <c r="B23" s="447">
        <v>17</v>
      </c>
      <c r="C23" s="448" t="s">
        <v>36</v>
      </c>
      <c r="D23" s="449" t="s">
        <v>296</v>
      </c>
      <c r="E23" s="450" t="s">
        <v>370</v>
      </c>
      <c r="F23" s="434">
        <v>0.89531113704615117</v>
      </c>
    </row>
    <row r="24" spans="2:6" s="226" customFormat="1" x14ac:dyDescent="0.25">
      <c r="B24" s="447">
        <v>18</v>
      </c>
      <c r="C24" s="448" t="s">
        <v>515</v>
      </c>
      <c r="D24" s="449" t="s">
        <v>511</v>
      </c>
      <c r="E24" s="450" t="s">
        <v>370</v>
      </c>
      <c r="F24" s="434">
        <v>0.94913456378770289</v>
      </c>
    </row>
    <row r="25" spans="2:6" s="226" customFormat="1" x14ac:dyDescent="0.25">
      <c r="B25" s="447">
        <v>19</v>
      </c>
      <c r="C25" s="448" t="s">
        <v>11</v>
      </c>
      <c r="D25" s="449" t="s">
        <v>297</v>
      </c>
      <c r="E25" s="450" t="s">
        <v>371</v>
      </c>
      <c r="F25" s="434">
        <v>0.59958748172387388</v>
      </c>
    </row>
    <row r="26" spans="2:6" s="226" customFormat="1" x14ac:dyDescent="0.25">
      <c r="B26" s="447">
        <v>20</v>
      </c>
      <c r="C26" s="448" t="s">
        <v>51</v>
      </c>
      <c r="D26" s="449" t="s">
        <v>298</v>
      </c>
      <c r="E26" s="450" t="s">
        <v>370</v>
      </c>
      <c r="F26" s="434">
        <v>0.84492908130156674</v>
      </c>
    </row>
    <row r="27" spans="2:6" s="226" customFormat="1" x14ac:dyDescent="0.25">
      <c r="B27" s="447">
        <v>21</v>
      </c>
      <c r="C27" s="448" t="s">
        <v>260</v>
      </c>
      <c r="D27" s="449" t="s">
        <v>300</v>
      </c>
      <c r="E27" s="450" t="s">
        <v>370</v>
      </c>
      <c r="F27" s="434">
        <v>0.84334561532792929</v>
      </c>
    </row>
    <row r="28" spans="2:6" s="226" customFormat="1" x14ac:dyDescent="0.25">
      <c r="B28" s="447">
        <v>22</v>
      </c>
      <c r="C28" s="448" t="s">
        <v>39</v>
      </c>
      <c r="D28" s="449" t="s">
        <v>301</v>
      </c>
      <c r="E28" s="450" t="s">
        <v>371</v>
      </c>
      <c r="F28" s="434">
        <v>0.48090017420618525</v>
      </c>
    </row>
    <row r="29" spans="2:6" s="226" customFormat="1" x14ac:dyDescent="0.25">
      <c r="B29" s="447">
        <v>23</v>
      </c>
      <c r="C29" s="448" t="s">
        <v>20</v>
      </c>
      <c r="D29" s="449" t="s">
        <v>302</v>
      </c>
      <c r="E29" s="450" t="s">
        <v>370</v>
      </c>
      <c r="F29" s="434">
        <v>0.99154946416451661</v>
      </c>
    </row>
    <row r="30" spans="2:6" s="226" customFormat="1" x14ac:dyDescent="0.25">
      <c r="B30" s="447">
        <v>24</v>
      </c>
      <c r="C30" s="448" t="s">
        <v>12</v>
      </c>
      <c r="D30" s="449" t="s">
        <v>308</v>
      </c>
      <c r="E30" s="450" t="s">
        <v>371</v>
      </c>
      <c r="F30" s="434">
        <v>0.55788183787105561</v>
      </c>
    </row>
    <row r="31" spans="2:6" s="226" customFormat="1" x14ac:dyDescent="0.25">
      <c r="B31" s="447">
        <v>25</v>
      </c>
      <c r="C31" s="448" t="s">
        <v>74</v>
      </c>
      <c r="D31" s="449" t="s">
        <v>309</v>
      </c>
      <c r="E31" s="450" t="s">
        <v>371</v>
      </c>
      <c r="F31" s="434">
        <v>0.78567232629673633</v>
      </c>
    </row>
    <row r="32" spans="2:6" s="226" customFormat="1" x14ac:dyDescent="0.25">
      <c r="B32" s="447">
        <v>26</v>
      </c>
      <c r="C32" s="448" t="s">
        <v>369</v>
      </c>
      <c r="D32" s="449" t="s">
        <v>368</v>
      </c>
      <c r="E32" s="450" t="s">
        <v>371</v>
      </c>
      <c r="F32" s="434">
        <v>0.50560599157712272</v>
      </c>
    </row>
    <row r="33" spans="2:6" s="226" customFormat="1" x14ac:dyDescent="0.25">
      <c r="B33" s="447">
        <v>27</v>
      </c>
      <c r="C33" s="448" t="s">
        <v>40</v>
      </c>
      <c r="D33" s="449" t="s">
        <v>310</v>
      </c>
      <c r="E33" s="450" t="s">
        <v>370</v>
      </c>
      <c r="F33" s="434">
        <v>0.87362440415367082</v>
      </c>
    </row>
    <row r="34" spans="2:6" s="226" customFormat="1" x14ac:dyDescent="0.25">
      <c r="B34" s="447">
        <v>28</v>
      </c>
      <c r="C34" s="448" t="s">
        <v>66</v>
      </c>
      <c r="D34" s="449" t="s">
        <v>314</v>
      </c>
      <c r="E34" s="450" t="s">
        <v>370</v>
      </c>
      <c r="F34" s="434">
        <v>0.99888749902033358</v>
      </c>
    </row>
    <row r="35" spans="2:6" s="226" customFormat="1" x14ac:dyDescent="0.25">
      <c r="B35" s="447">
        <v>29</v>
      </c>
      <c r="C35" s="448" t="s">
        <v>21</v>
      </c>
      <c r="D35" s="449" t="s">
        <v>315</v>
      </c>
      <c r="E35" s="450" t="s">
        <v>370</v>
      </c>
      <c r="F35" s="434">
        <v>0.87220813714837608</v>
      </c>
    </row>
    <row r="36" spans="2:6" s="226" customFormat="1" x14ac:dyDescent="0.25">
      <c r="B36" s="447">
        <v>30</v>
      </c>
      <c r="C36" s="448" t="s">
        <v>22</v>
      </c>
      <c r="D36" s="449" t="s">
        <v>316</v>
      </c>
      <c r="E36" s="450" t="s">
        <v>370</v>
      </c>
      <c r="F36" s="434">
        <v>0.84827636694494046</v>
      </c>
    </row>
    <row r="37" spans="2:6" s="226" customFormat="1" x14ac:dyDescent="0.25">
      <c r="B37" s="447">
        <v>31</v>
      </c>
      <c r="C37" s="448" t="s">
        <v>53</v>
      </c>
      <c r="D37" s="449" t="s">
        <v>317</v>
      </c>
      <c r="E37" s="450" t="s">
        <v>370</v>
      </c>
      <c r="F37" s="434">
        <v>1</v>
      </c>
    </row>
    <row r="38" spans="2:6" s="226" customFormat="1" x14ac:dyDescent="0.25">
      <c r="B38" s="447">
        <v>32</v>
      </c>
      <c r="C38" s="448" t="s">
        <v>41</v>
      </c>
      <c r="D38" s="449" t="s">
        <v>321</v>
      </c>
      <c r="E38" s="450" t="s">
        <v>370</v>
      </c>
      <c r="F38" s="434">
        <v>0.99543383874273916</v>
      </c>
    </row>
    <row r="39" spans="2:6" s="226" customFormat="1" x14ac:dyDescent="0.25">
      <c r="B39" s="447">
        <v>33</v>
      </c>
      <c r="C39" s="448" t="s">
        <v>42</v>
      </c>
      <c r="D39" s="449" t="s">
        <v>320</v>
      </c>
      <c r="E39" s="450" t="s">
        <v>370</v>
      </c>
      <c r="F39" s="434">
        <v>1</v>
      </c>
    </row>
    <row r="40" spans="2:6" s="226" customFormat="1" x14ac:dyDescent="0.25">
      <c r="B40" s="447">
        <v>34</v>
      </c>
      <c r="C40" s="448" t="s">
        <v>24</v>
      </c>
      <c r="D40" s="449" t="s">
        <v>323</v>
      </c>
      <c r="E40" s="450" t="s">
        <v>370</v>
      </c>
      <c r="F40" s="434">
        <v>1</v>
      </c>
    </row>
    <row r="41" spans="2:6" s="226" customFormat="1" x14ac:dyDescent="0.25">
      <c r="B41" s="447">
        <v>35</v>
      </c>
      <c r="C41" s="448" t="s">
        <v>43</v>
      </c>
      <c r="D41" s="449" t="s">
        <v>324</v>
      </c>
      <c r="E41" s="450" t="s">
        <v>370</v>
      </c>
      <c r="F41" s="434">
        <v>0.99177870687780023</v>
      </c>
    </row>
    <row r="42" spans="2:6" s="226" customFormat="1" x14ac:dyDescent="0.25">
      <c r="B42" s="447">
        <v>36</v>
      </c>
      <c r="C42" s="448" t="s">
        <v>45</v>
      </c>
      <c r="D42" s="449" t="s">
        <v>318</v>
      </c>
      <c r="E42" s="450" t="s">
        <v>371</v>
      </c>
      <c r="F42" s="434">
        <v>0.65605190915897182</v>
      </c>
    </row>
    <row r="43" spans="2:6" s="226" customFormat="1" x14ac:dyDescent="0.25">
      <c r="B43" s="447">
        <v>37</v>
      </c>
      <c r="C43" s="448" t="s">
        <v>13</v>
      </c>
      <c r="D43" s="449" t="s">
        <v>326</v>
      </c>
      <c r="E43" s="450" t="s">
        <v>371</v>
      </c>
      <c r="F43" s="434">
        <v>0.79227027315977971</v>
      </c>
    </row>
    <row r="44" spans="2:6" s="226" customFormat="1" x14ac:dyDescent="0.25">
      <c r="B44" s="447">
        <v>38</v>
      </c>
      <c r="C44" s="448" t="s">
        <v>25</v>
      </c>
      <c r="D44" s="449" t="s">
        <v>328</v>
      </c>
      <c r="E44" s="450" t="s">
        <v>371</v>
      </c>
      <c r="F44" s="434">
        <v>0.74659484696320211</v>
      </c>
    </row>
    <row r="45" spans="2:6" s="226" customFormat="1" x14ac:dyDescent="0.25">
      <c r="B45" s="447">
        <v>39</v>
      </c>
      <c r="C45" s="448" t="s">
        <v>7</v>
      </c>
      <c r="D45" s="449" t="s">
        <v>327</v>
      </c>
      <c r="E45" s="450" t="s">
        <v>370</v>
      </c>
      <c r="F45" s="434">
        <v>0.85685114451625843</v>
      </c>
    </row>
    <row r="46" spans="2:6" s="226" customFormat="1" x14ac:dyDescent="0.25">
      <c r="B46" s="447">
        <v>40</v>
      </c>
      <c r="C46" s="448" t="s">
        <v>76</v>
      </c>
      <c r="D46" s="449" t="s">
        <v>333</v>
      </c>
      <c r="E46" s="450" t="s">
        <v>370</v>
      </c>
      <c r="F46" s="434">
        <v>0.96286119482361276</v>
      </c>
    </row>
    <row r="47" spans="2:6" s="226" customFormat="1" x14ac:dyDescent="0.25">
      <c r="B47" s="447">
        <v>41</v>
      </c>
      <c r="C47" s="448" t="s">
        <v>14</v>
      </c>
      <c r="D47" s="449" t="s">
        <v>334</v>
      </c>
      <c r="E47" s="450" t="s">
        <v>370</v>
      </c>
      <c r="F47" s="434">
        <v>0.84117434102780686</v>
      </c>
    </row>
    <row r="48" spans="2:6" s="226" customFormat="1" x14ac:dyDescent="0.25">
      <c r="B48" s="447">
        <v>42</v>
      </c>
      <c r="C48" s="448" t="s">
        <v>537</v>
      </c>
      <c r="D48" s="449" t="s">
        <v>335</v>
      </c>
      <c r="E48" s="450" t="s">
        <v>370</v>
      </c>
      <c r="F48" s="434">
        <v>0.99316473681414996</v>
      </c>
    </row>
    <row r="49" spans="2:6" s="226" customFormat="1" x14ac:dyDescent="0.25">
      <c r="B49" s="447">
        <v>43</v>
      </c>
      <c r="C49" s="448" t="s">
        <v>59</v>
      </c>
      <c r="D49" s="449" t="s">
        <v>336</v>
      </c>
      <c r="E49" s="450" t="s">
        <v>370</v>
      </c>
      <c r="F49" s="434">
        <v>1</v>
      </c>
    </row>
    <row r="50" spans="2:6" s="226" customFormat="1" x14ac:dyDescent="0.25">
      <c r="B50" s="447">
        <v>44</v>
      </c>
      <c r="C50" s="448" t="s">
        <v>257</v>
      </c>
      <c r="D50" s="449" t="s">
        <v>337</v>
      </c>
      <c r="E50" s="450" t="s">
        <v>370</v>
      </c>
      <c r="F50" s="434">
        <v>0.99317999999999995</v>
      </c>
    </row>
    <row r="51" spans="2:6" s="226" customFormat="1" x14ac:dyDescent="0.25">
      <c r="B51" s="447"/>
      <c r="C51" s="448"/>
      <c r="D51" s="449"/>
      <c r="E51" s="450"/>
      <c r="F51" s="434"/>
    </row>
    <row r="52" spans="2:6" s="226" customFormat="1" x14ac:dyDescent="0.25">
      <c r="B52" s="447"/>
      <c r="C52" s="448"/>
      <c r="D52" s="449"/>
      <c r="E52" s="450"/>
      <c r="F52" s="434"/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>
        <v>1</v>
      </c>
      <c r="C54" s="448" t="s">
        <v>551</v>
      </c>
      <c r="D54" s="449" t="s">
        <v>540</v>
      </c>
      <c r="E54" s="450" t="s">
        <v>370</v>
      </c>
      <c r="F54" s="434">
        <v>0.90779036389525458</v>
      </c>
    </row>
    <row r="55" spans="2:6" s="226" customFormat="1" x14ac:dyDescent="0.25">
      <c r="B55" s="447">
        <v>2</v>
      </c>
      <c r="C55" s="448" t="s">
        <v>520</v>
      </c>
      <c r="D55" s="449" t="s">
        <v>442</v>
      </c>
      <c r="E55" s="450" t="s">
        <v>371</v>
      </c>
      <c r="F55" s="434">
        <v>0.70705191798941791</v>
      </c>
    </row>
    <row r="56" spans="2:6" s="226" customFormat="1" x14ac:dyDescent="0.25">
      <c r="B56" s="447">
        <v>3</v>
      </c>
      <c r="C56" s="448" t="s">
        <v>521</v>
      </c>
      <c r="D56" s="449" t="s">
        <v>444</v>
      </c>
      <c r="E56" s="450" t="s">
        <v>370</v>
      </c>
      <c r="F56" s="434">
        <v>1</v>
      </c>
    </row>
    <row r="57" spans="2:6" s="226" customFormat="1" x14ac:dyDescent="0.25">
      <c r="B57" s="447">
        <v>4</v>
      </c>
      <c r="C57" s="448" t="s">
        <v>522</v>
      </c>
      <c r="D57" s="449" t="s">
        <v>445</v>
      </c>
      <c r="E57" s="450" t="s">
        <v>370</v>
      </c>
      <c r="F57" s="434">
        <v>1</v>
      </c>
    </row>
    <row r="58" spans="2:6" s="226" customFormat="1" x14ac:dyDescent="0.25">
      <c r="B58" s="447">
        <v>5</v>
      </c>
      <c r="C58" s="448" t="s">
        <v>523</v>
      </c>
      <c r="D58" s="449" t="s">
        <v>446</v>
      </c>
      <c r="E58" s="450" t="s">
        <v>370</v>
      </c>
      <c r="F58" s="434">
        <v>0.81182116104868918</v>
      </c>
    </row>
    <row r="59" spans="2:6" s="226" customFormat="1" x14ac:dyDescent="0.25">
      <c r="B59" s="447">
        <v>6</v>
      </c>
      <c r="C59" s="448" t="s">
        <v>524</v>
      </c>
      <c r="D59" s="449" t="s">
        <v>448</v>
      </c>
      <c r="E59" s="450" t="s">
        <v>370</v>
      </c>
      <c r="F59" s="434">
        <v>0.94743999999999995</v>
      </c>
    </row>
    <row r="60" spans="2:6" s="226" customFormat="1" x14ac:dyDescent="0.25">
      <c r="B60" s="447"/>
      <c r="C60" s="448"/>
      <c r="D60" s="449"/>
      <c r="E60" s="450"/>
      <c r="F60" s="434"/>
    </row>
    <row r="61" spans="2:6" s="226" customFormat="1" x14ac:dyDescent="0.25">
      <c r="B61" s="447"/>
      <c r="C61" s="448"/>
      <c r="D61" s="449"/>
      <c r="E61" s="450"/>
      <c r="F61" s="434"/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42369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447">
        <f t="shared" ref="B7:B61" ca="1" si="0">OFFSET( B7, -1, 0 ) + 1</f>
        <v>1</v>
      </c>
      <c r="C7" s="448" t="s">
        <v>15</v>
      </c>
      <c r="D7" s="449" t="s">
        <v>276</v>
      </c>
      <c r="E7" s="450" t="s">
        <v>371</v>
      </c>
      <c r="F7" s="434">
        <v>0.78714515701738286</v>
      </c>
    </row>
    <row r="8" spans="1:6" s="226" customFormat="1" x14ac:dyDescent="0.25">
      <c r="B8" s="447">
        <f t="shared" ca="1" si="0"/>
        <v>2</v>
      </c>
      <c r="C8" s="448" t="s">
        <v>17</v>
      </c>
      <c r="D8" s="449" t="s">
        <v>306</v>
      </c>
      <c r="E8" s="450" t="s">
        <v>370</v>
      </c>
      <c r="F8" s="434">
        <v>0.89239067802035976</v>
      </c>
    </row>
    <row r="9" spans="1:6" s="226" customFormat="1" x14ac:dyDescent="0.25">
      <c r="B9" s="447">
        <f t="shared" ca="1" si="0"/>
        <v>3</v>
      </c>
      <c r="C9" s="448" t="s">
        <v>9</v>
      </c>
      <c r="D9" s="449" t="s">
        <v>273</v>
      </c>
      <c r="E9" s="450" t="s">
        <v>370</v>
      </c>
      <c r="F9" s="434">
        <v>1</v>
      </c>
    </row>
    <row r="10" spans="1:6" s="226" customFormat="1" x14ac:dyDescent="0.25">
      <c r="B10" s="447">
        <f t="shared" ca="1" si="0"/>
        <v>4</v>
      </c>
      <c r="C10" s="448" t="s">
        <v>258</v>
      </c>
      <c r="D10" s="449" t="s">
        <v>274</v>
      </c>
      <c r="E10" s="450" t="s">
        <v>370</v>
      </c>
      <c r="F10" s="434">
        <v>0.89886208702221515</v>
      </c>
    </row>
    <row r="11" spans="1:6" s="226" customFormat="1" x14ac:dyDescent="0.25">
      <c r="B11" s="447">
        <f t="shared" ca="1" si="0"/>
        <v>5</v>
      </c>
      <c r="C11" s="448" t="s">
        <v>531</v>
      </c>
      <c r="D11" s="449" t="s">
        <v>529</v>
      </c>
      <c r="E11" s="450" t="s">
        <v>371</v>
      </c>
      <c r="F11" s="434">
        <v>0.55099999999999993</v>
      </c>
    </row>
    <row r="12" spans="1:6" s="226" customFormat="1" x14ac:dyDescent="0.25">
      <c r="B12" s="447">
        <f t="shared" ca="1" si="0"/>
        <v>6</v>
      </c>
      <c r="C12" s="448" t="s">
        <v>55</v>
      </c>
      <c r="D12" s="449" t="s">
        <v>277</v>
      </c>
      <c r="E12" s="450" t="s">
        <v>370</v>
      </c>
      <c r="F12" s="434">
        <v>0.99200961796941245</v>
      </c>
    </row>
    <row r="13" spans="1:6" s="226" customFormat="1" x14ac:dyDescent="0.25">
      <c r="B13" s="447">
        <f t="shared" ca="1" si="0"/>
        <v>7</v>
      </c>
      <c r="C13" s="448" t="s">
        <v>48</v>
      </c>
      <c r="D13" s="449" t="s">
        <v>279</v>
      </c>
      <c r="E13" s="450" t="s">
        <v>370</v>
      </c>
      <c r="F13" s="434">
        <v>0.80003806249853648</v>
      </c>
    </row>
    <row r="14" spans="1:6" s="226" customFormat="1" x14ac:dyDescent="0.25">
      <c r="B14" s="447">
        <f t="shared" ca="1" si="0"/>
        <v>8</v>
      </c>
      <c r="C14" s="448" t="s">
        <v>29</v>
      </c>
      <c r="D14" s="449" t="s">
        <v>285</v>
      </c>
      <c r="E14" s="450" t="s">
        <v>371</v>
      </c>
      <c r="F14" s="434">
        <v>0.74153804494990516</v>
      </c>
    </row>
    <row r="15" spans="1:6" s="226" customFormat="1" x14ac:dyDescent="0.25">
      <c r="B15" s="447">
        <f t="shared" ca="1" si="0"/>
        <v>9</v>
      </c>
      <c r="C15" s="448" t="s">
        <v>30</v>
      </c>
      <c r="D15" s="449" t="s">
        <v>284</v>
      </c>
      <c r="E15" s="450" t="s">
        <v>370</v>
      </c>
      <c r="F15" s="434">
        <v>0.9791788967546956</v>
      </c>
    </row>
    <row r="16" spans="1:6" s="226" customFormat="1" x14ac:dyDescent="0.25">
      <c r="B16" s="447">
        <f t="shared" ca="1" si="0"/>
        <v>10</v>
      </c>
      <c r="C16" s="448" t="s">
        <v>60</v>
      </c>
      <c r="D16" s="449" t="s">
        <v>283</v>
      </c>
      <c r="E16" s="450" t="s">
        <v>370</v>
      </c>
      <c r="F16" s="434">
        <v>0.91415929203539825</v>
      </c>
    </row>
    <row r="17" spans="2:6" s="226" customFormat="1" x14ac:dyDescent="0.25">
      <c r="B17" s="447">
        <f t="shared" ca="1" si="0"/>
        <v>11</v>
      </c>
      <c r="C17" s="448" t="s">
        <v>3</v>
      </c>
      <c r="D17" s="449" t="s">
        <v>291</v>
      </c>
      <c r="E17" s="450" t="s">
        <v>370</v>
      </c>
      <c r="F17" s="434">
        <v>0.88287103983173398</v>
      </c>
    </row>
    <row r="18" spans="2:6" s="226" customFormat="1" x14ac:dyDescent="0.25">
      <c r="B18" s="447">
        <f t="shared" ca="1" si="0"/>
        <v>12</v>
      </c>
      <c r="C18" s="448" t="s">
        <v>18</v>
      </c>
      <c r="D18" s="449" t="s">
        <v>86</v>
      </c>
      <c r="E18" s="450" t="s">
        <v>371</v>
      </c>
      <c r="F18" s="434">
        <v>0.6468401360544217</v>
      </c>
    </row>
    <row r="19" spans="2:6" s="226" customFormat="1" x14ac:dyDescent="0.25">
      <c r="B19" s="447">
        <f t="shared" ca="1" si="0"/>
        <v>13</v>
      </c>
      <c r="C19" s="448" t="s">
        <v>31</v>
      </c>
      <c r="D19" s="449" t="s">
        <v>288</v>
      </c>
      <c r="E19" s="450" t="s">
        <v>370</v>
      </c>
      <c r="F19" s="434">
        <v>0.82952291470925987</v>
      </c>
    </row>
    <row r="20" spans="2:6" s="226" customFormat="1" x14ac:dyDescent="0.25">
      <c r="B20" s="447">
        <f t="shared" ca="1" si="0"/>
        <v>14</v>
      </c>
      <c r="C20" s="448" t="s">
        <v>32</v>
      </c>
      <c r="D20" s="449" t="s">
        <v>289</v>
      </c>
      <c r="E20" s="450" t="s">
        <v>370</v>
      </c>
      <c r="F20" s="434">
        <v>0.92081283634322686</v>
      </c>
    </row>
    <row r="21" spans="2:6" s="226" customFormat="1" x14ac:dyDescent="0.25">
      <c r="B21" s="447">
        <f t="shared" ca="1" si="0"/>
        <v>15</v>
      </c>
      <c r="C21" s="448" t="s">
        <v>57</v>
      </c>
      <c r="D21" s="449" t="s">
        <v>295</v>
      </c>
      <c r="E21" s="450" t="s">
        <v>370</v>
      </c>
      <c r="F21" s="434">
        <v>1</v>
      </c>
    </row>
    <row r="22" spans="2:6" s="226" customFormat="1" x14ac:dyDescent="0.25">
      <c r="B22" s="447">
        <f t="shared" ca="1" si="0"/>
        <v>16</v>
      </c>
      <c r="C22" s="448" t="s">
        <v>34</v>
      </c>
      <c r="D22" s="449" t="s">
        <v>293</v>
      </c>
      <c r="E22" s="450" t="s">
        <v>370</v>
      </c>
      <c r="F22" s="434">
        <v>1</v>
      </c>
    </row>
    <row r="23" spans="2:6" s="226" customFormat="1" x14ac:dyDescent="0.25">
      <c r="B23" s="447">
        <f t="shared" ca="1" si="0"/>
        <v>17</v>
      </c>
      <c r="C23" s="448" t="s">
        <v>35</v>
      </c>
      <c r="D23" s="449" t="s">
        <v>292</v>
      </c>
      <c r="E23" s="450" t="s">
        <v>370</v>
      </c>
      <c r="F23" s="434">
        <v>1.0050576242524851</v>
      </c>
    </row>
    <row r="24" spans="2:6" s="226" customFormat="1" x14ac:dyDescent="0.25">
      <c r="B24" s="447">
        <f t="shared" ca="1" si="0"/>
        <v>18</v>
      </c>
      <c r="C24" s="448" t="s">
        <v>36</v>
      </c>
      <c r="D24" s="449" t="s">
        <v>296</v>
      </c>
      <c r="E24" s="450" t="s">
        <v>370</v>
      </c>
      <c r="F24" s="434">
        <v>0.85910186466347471</v>
      </c>
    </row>
    <row r="25" spans="2:6" s="226" customFormat="1" x14ac:dyDescent="0.25">
      <c r="B25" s="447">
        <f t="shared" ca="1" si="0"/>
        <v>19</v>
      </c>
      <c r="C25" s="448" t="s">
        <v>515</v>
      </c>
      <c r="D25" s="449" t="s">
        <v>511</v>
      </c>
      <c r="E25" s="450" t="s">
        <v>370</v>
      </c>
      <c r="F25" s="434">
        <v>0.95175979306939418</v>
      </c>
    </row>
    <row r="26" spans="2:6" s="226" customFormat="1" x14ac:dyDescent="0.25">
      <c r="B26" s="447">
        <f t="shared" ca="1" si="0"/>
        <v>20</v>
      </c>
      <c r="C26" s="448" t="s">
        <v>11</v>
      </c>
      <c r="D26" s="449" t="s">
        <v>297</v>
      </c>
      <c r="E26" s="450" t="s">
        <v>86</v>
      </c>
      <c r="F26" s="434">
        <v>0.47381112136207332</v>
      </c>
    </row>
    <row r="27" spans="2:6" s="226" customFormat="1" x14ac:dyDescent="0.25">
      <c r="B27" s="447">
        <f t="shared" ca="1" si="0"/>
        <v>21</v>
      </c>
      <c r="C27" s="448" t="s">
        <v>51</v>
      </c>
      <c r="D27" s="449" t="s">
        <v>298</v>
      </c>
      <c r="E27" s="450" t="s">
        <v>371</v>
      </c>
      <c r="F27" s="434">
        <v>0.67670109414221935</v>
      </c>
    </row>
    <row r="28" spans="2:6" s="226" customFormat="1" x14ac:dyDescent="0.25">
      <c r="B28" s="447">
        <f t="shared" ca="1" si="0"/>
        <v>22</v>
      </c>
      <c r="C28" s="448" t="s">
        <v>260</v>
      </c>
      <c r="D28" s="449" t="s">
        <v>300</v>
      </c>
      <c r="E28" s="450" t="s">
        <v>370</v>
      </c>
      <c r="F28" s="434">
        <v>1.0285791443949863</v>
      </c>
    </row>
    <row r="29" spans="2:6" s="226" customFormat="1" x14ac:dyDescent="0.25">
      <c r="B29" s="447">
        <f t="shared" ca="1" si="0"/>
        <v>23</v>
      </c>
      <c r="C29" s="448" t="s">
        <v>39</v>
      </c>
      <c r="D29" s="449" t="s">
        <v>301</v>
      </c>
      <c r="E29" s="450" t="s">
        <v>86</v>
      </c>
      <c r="F29" s="434">
        <v>0.48176077819232183</v>
      </c>
    </row>
    <row r="30" spans="2:6" s="226" customFormat="1" x14ac:dyDescent="0.25">
      <c r="B30" s="447">
        <f t="shared" ca="1" si="0"/>
        <v>24</v>
      </c>
      <c r="C30" s="448" t="s">
        <v>20</v>
      </c>
      <c r="D30" s="449" t="s">
        <v>302</v>
      </c>
      <c r="E30" s="450" t="s">
        <v>370</v>
      </c>
      <c r="F30" s="434">
        <v>0.99095531131201209</v>
      </c>
    </row>
    <row r="31" spans="2:6" s="226" customFormat="1" x14ac:dyDescent="0.25">
      <c r="B31" s="447">
        <f t="shared" ca="1" si="0"/>
        <v>25</v>
      </c>
      <c r="C31" s="448" t="s">
        <v>12</v>
      </c>
      <c r="D31" s="449" t="s">
        <v>308</v>
      </c>
      <c r="E31" s="450" t="s">
        <v>371</v>
      </c>
      <c r="F31" s="434">
        <v>0.50850668898945151</v>
      </c>
    </row>
    <row r="32" spans="2:6" s="226" customFormat="1" x14ac:dyDescent="0.25">
      <c r="B32" s="447">
        <f t="shared" ca="1" si="0"/>
        <v>26</v>
      </c>
      <c r="C32" s="448" t="s">
        <v>74</v>
      </c>
      <c r="D32" s="449" t="s">
        <v>309</v>
      </c>
      <c r="E32" s="450" t="s">
        <v>371</v>
      </c>
      <c r="F32" s="434">
        <v>0.77746229357018903</v>
      </c>
    </row>
    <row r="33" spans="2:6" s="226" customFormat="1" x14ac:dyDescent="0.25">
      <c r="B33" s="447">
        <f t="shared" ca="1" si="0"/>
        <v>27</v>
      </c>
      <c r="C33" s="448" t="s">
        <v>369</v>
      </c>
      <c r="D33" s="449" t="s">
        <v>368</v>
      </c>
      <c r="E33" s="450" t="s">
        <v>371</v>
      </c>
      <c r="F33" s="434">
        <v>0.51556153687605333</v>
      </c>
    </row>
    <row r="34" spans="2:6" s="226" customFormat="1" x14ac:dyDescent="0.25">
      <c r="B34" s="447">
        <f t="shared" ca="1" si="0"/>
        <v>28</v>
      </c>
      <c r="C34" s="448" t="s">
        <v>40</v>
      </c>
      <c r="D34" s="449" t="s">
        <v>310</v>
      </c>
      <c r="E34" s="450" t="s">
        <v>370</v>
      </c>
      <c r="F34" s="434">
        <v>0.87807917679005287</v>
      </c>
    </row>
    <row r="35" spans="2:6" s="226" customFormat="1" x14ac:dyDescent="0.25">
      <c r="B35" s="447">
        <f t="shared" ca="1" si="0"/>
        <v>29</v>
      </c>
      <c r="C35" s="448" t="s">
        <v>66</v>
      </c>
      <c r="D35" s="449" t="s">
        <v>314</v>
      </c>
      <c r="E35" s="450" t="s">
        <v>370</v>
      </c>
      <c r="F35" s="434">
        <v>0.99859509267538604</v>
      </c>
    </row>
    <row r="36" spans="2:6" s="226" customFormat="1" x14ac:dyDescent="0.25">
      <c r="B36" s="447">
        <f t="shared" ca="1" si="0"/>
        <v>30</v>
      </c>
      <c r="C36" s="448" t="s">
        <v>21</v>
      </c>
      <c r="D36" s="449" t="s">
        <v>315</v>
      </c>
      <c r="E36" s="450" t="s">
        <v>370</v>
      </c>
      <c r="F36" s="434">
        <v>0.89001187821701711</v>
      </c>
    </row>
    <row r="37" spans="2:6" s="226" customFormat="1" x14ac:dyDescent="0.25">
      <c r="B37" s="447">
        <f t="shared" ca="1" si="0"/>
        <v>31</v>
      </c>
      <c r="C37" s="448" t="s">
        <v>22</v>
      </c>
      <c r="D37" s="449" t="s">
        <v>316</v>
      </c>
      <c r="E37" s="450" t="s">
        <v>370</v>
      </c>
      <c r="F37" s="434">
        <v>0.83639005680694867</v>
      </c>
    </row>
    <row r="38" spans="2:6" s="226" customFormat="1" x14ac:dyDescent="0.25">
      <c r="B38" s="447">
        <f t="shared" ca="1" si="0"/>
        <v>32</v>
      </c>
      <c r="C38" s="448" t="s">
        <v>53</v>
      </c>
      <c r="D38" s="449" t="s">
        <v>317</v>
      </c>
      <c r="E38" s="450" t="s">
        <v>370</v>
      </c>
      <c r="F38" s="434">
        <v>1</v>
      </c>
    </row>
    <row r="39" spans="2:6" s="226" customFormat="1" x14ac:dyDescent="0.25">
      <c r="B39" s="447">
        <f t="shared" ca="1" si="0"/>
        <v>33</v>
      </c>
      <c r="C39" s="448" t="s">
        <v>41</v>
      </c>
      <c r="D39" s="449" t="s">
        <v>321</v>
      </c>
      <c r="E39" s="450" t="s">
        <v>370</v>
      </c>
      <c r="F39" s="434">
        <v>0.99693404252176143</v>
      </c>
    </row>
    <row r="40" spans="2:6" s="226" customFormat="1" x14ac:dyDescent="0.25">
      <c r="B40" s="447">
        <f t="shared" ca="1" si="0"/>
        <v>34</v>
      </c>
      <c r="C40" s="448" t="s">
        <v>42</v>
      </c>
      <c r="D40" s="449" t="s">
        <v>320</v>
      </c>
      <c r="E40" s="450" t="s">
        <v>370</v>
      </c>
      <c r="F40" s="434">
        <v>1</v>
      </c>
    </row>
    <row r="41" spans="2:6" s="226" customFormat="1" x14ac:dyDescent="0.25">
      <c r="B41" s="447">
        <f t="shared" ca="1" si="0"/>
        <v>35</v>
      </c>
      <c r="C41" s="448" t="s">
        <v>24</v>
      </c>
      <c r="D41" s="449" t="s">
        <v>323</v>
      </c>
      <c r="E41" s="450" t="s">
        <v>370</v>
      </c>
      <c r="F41" s="434">
        <v>1</v>
      </c>
    </row>
    <row r="42" spans="2:6" s="226" customFormat="1" x14ac:dyDescent="0.25">
      <c r="B42" s="447">
        <f t="shared" ca="1" si="0"/>
        <v>36</v>
      </c>
      <c r="C42" s="448" t="s">
        <v>43</v>
      </c>
      <c r="D42" s="449" t="s">
        <v>324</v>
      </c>
      <c r="E42" s="450" t="s">
        <v>370</v>
      </c>
      <c r="F42" s="434">
        <v>0.99071270451133564</v>
      </c>
    </row>
    <row r="43" spans="2:6" s="226" customFormat="1" x14ac:dyDescent="0.25">
      <c r="B43" s="447">
        <f t="shared" ca="1" si="0"/>
        <v>37</v>
      </c>
      <c r="C43" s="448" t="s">
        <v>45</v>
      </c>
      <c r="D43" s="449" t="s">
        <v>318</v>
      </c>
      <c r="E43" s="450" t="s">
        <v>371</v>
      </c>
      <c r="F43" s="434">
        <v>0.63079792193952311</v>
      </c>
    </row>
    <row r="44" spans="2:6" s="226" customFormat="1" x14ac:dyDescent="0.25">
      <c r="B44" s="447">
        <f t="shared" ca="1" si="0"/>
        <v>38</v>
      </c>
      <c r="C44" s="448" t="s">
        <v>13</v>
      </c>
      <c r="D44" s="449" t="s">
        <v>326</v>
      </c>
      <c r="E44" s="450" t="s">
        <v>371</v>
      </c>
      <c r="F44" s="434">
        <v>0.7867141024145573</v>
      </c>
    </row>
    <row r="45" spans="2:6" s="226" customFormat="1" x14ac:dyDescent="0.25">
      <c r="B45" s="447">
        <f t="shared" ca="1" si="0"/>
        <v>39</v>
      </c>
      <c r="C45" s="448" t="s">
        <v>25</v>
      </c>
      <c r="D45" s="449" t="s">
        <v>328</v>
      </c>
      <c r="E45" s="450" t="s">
        <v>371</v>
      </c>
      <c r="F45" s="434">
        <v>0.78586206561360905</v>
      </c>
    </row>
    <row r="46" spans="2:6" s="226" customFormat="1" x14ac:dyDescent="0.25">
      <c r="B46" s="447">
        <f t="shared" ca="1" si="0"/>
        <v>40</v>
      </c>
      <c r="C46" s="448" t="s">
        <v>7</v>
      </c>
      <c r="D46" s="449" t="s">
        <v>327</v>
      </c>
      <c r="E46" s="450" t="s">
        <v>370</v>
      </c>
      <c r="F46" s="434">
        <v>0.88168747925125768</v>
      </c>
    </row>
    <row r="47" spans="2:6" s="226" customFormat="1" x14ac:dyDescent="0.25">
      <c r="B47" s="447">
        <f t="shared" ca="1" si="0"/>
        <v>41</v>
      </c>
      <c r="C47" s="448" t="s">
        <v>62</v>
      </c>
      <c r="D47" s="449" t="s">
        <v>329</v>
      </c>
      <c r="E47" s="450" t="s">
        <v>370</v>
      </c>
      <c r="F47" s="434">
        <v>1.0477954715380926</v>
      </c>
    </row>
    <row r="48" spans="2:6" s="226" customFormat="1" x14ac:dyDescent="0.25">
      <c r="B48" s="447">
        <f t="shared" ca="1" si="0"/>
        <v>42</v>
      </c>
      <c r="C48" s="448" t="s">
        <v>76</v>
      </c>
      <c r="D48" s="449" t="s">
        <v>333</v>
      </c>
      <c r="E48" s="450" t="s">
        <v>370</v>
      </c>
      <c r="F48" s="434">
        <v>0.96855886850152895</v>
      </c>
    </row>
    <row r="49" spans="2:6" s="226" customFormat="1" x14ac:dyDescent="0.25">
      <c r="B49" s="447">
        <f t="shared" ca="1" si="0"/>
        <v>43</v>
      </c>
      <c r="C49" s="448" t="s">
        <v>14</v>
      </c>
      <c r="D49" s="449" t="s">
        <v>334</v>
      </c>
      <c r="E49" s="450" t="s">
        <v>370</v>
      </c>
      <c r="F49" s="434">
        <v>0.82990443446274409</v>
      </c>
    </row>
    <row r="50" spans="2:6" s="226" customFormat="1" x14ac:dyDescent="0.25">
      <c r="B50" s="447">
        <f t="shared" ca="1" si="0"/>
        <v>44</v>
      </c>
      <c r="C50" s="448" t="s">
        <v>537</v>
      </c>
      <c r="D50" s="449" t="s">
        <v>335</v>
      </c>
      <c r="E50" s="450" t="s">
        <v>370</v>
      </c>
      <c r="F50" s="434">
        <v>1</v>
      </c>
    </row>
    <row r="51" spans="2:6" s="226" customFormat="1" x14ac:dyDescent="0.25">
      <c r="B51" s="447">
        <f t="shared" ca="1" si="0"/>
        <v>45</v>
      </c>
      <c r="C51" s="448" t="s">
        <v>59</v>
      </c>
      <c r="D51" s="449" t="s">
        <v>336</v>
      </c>
      <c r="E51" s="450" t="s">
        <v>370</v>
      </c>
      <c r="F51" s="434">
        <v>0.98699999999999999</v>
      </c>
    </row>
    <row r="52" spans="2:6" s="226" customFormat="1" x14ac:dyDescent="0.25">
      <c r="B52" s="447">
        <f t="shared" ca="1" si="0"/>
        <v>46</v>
      </c>
      <c r="C52" s="448" t="s">
        <v>257</v>
      </c>
      <c r="D52" s="449" t="s">
        <v>337</v>
      </c>
      <c r="E52" s="450" t="s">
        <v>370</v>
      </c>
      <c r="F52" s="434">
        <v>1.0439999999999998</v>
      </c>
    </row>
    <row r="53" spans="2:6" s="226" customFormat="1" x14ac:dyDescent="0.25">
      <c r="B53" s="447"/>
      <c r="C53" s="448"/>
      <c r="D53" s="449"/>
      <c r="E53" s="450"/>
      <c r="F53" s="434"/>
    </row>
    <row r="54" spans="2:6" s="226" customFormat="1" x14ac:dyDescent="0.25">
      <c r="B54" s="447"/>
      <c r="C54" s="448"/>
      <c r="D54" s="449"/>
      <c r="E54" s="450"/>
      <c r="F54" s="434"/>
    </row>
    <row r="55" spans="2:6" s="226" customFormat="1" x14ac:dyDescent="0.25">
      <c r="B55" s="447"/>
      <c r="C55" s="448"/>
      <c r="D55" s="449"/>
      <c r="E55" s="450"/>
      <c r="F55" s="434"/>
    </row>
    <row r="56" spans="2:6" s="226" customFormat="1" x14ac:dyDescent="0.25">
      <c r="B56" s="447"/>
      <c r="C56" s="448"/>
      <c r="D56" s="449"/>
      <c r="E56" s="450"/>
      <c r="F56" s="434"/>
    </row>
    <row r="57" spans="2:6" s="226" customFormat="1" x14ac:dyDescent="0.25">
      <c r="B57" s="447">
        <f t="shared" ca="1" si="0"/>
        <v>1</v>
      </c>
      <c r="C57" s="448" t="s">
        <v>520</v>
      </c>
      <c r="D57" s="449" t="s">
        <v>442</v>
      </c>
      <c r="E57" s="450" t="s">
        <v>371</v>
      </c>
      <c r="F57" s="434">
        <v>1.0074832375478926</v>
      </c>
    </row>
    <row r="58" spans="2:6" s="226" customFormat="1" x14ac:dyDescent="0.25">
      <c r="B58" s="447">
        <f t="shared" ca="1" si="0"/>
        <v>2</v>
      </c>
      <c r="C58" s="448" t="s">
        <v>521</v>
      </c>
      <c r="D58" s="449" t="s">
        <v>444</v>
      </c>
      <c r="E58" s="450" t="s">
        <v>370</v>
      </c>
      <c r="F58" s="434">
        <v>0.25970852978997</v>
      </c>
    </row>
    <row r="59" spans="2:6" s="226" customFormat="1" x14ac:dyDescent="0.25">
      <c r="B59" s="447">
        <f t="shared" ca="1" si="0"/>
        <v>3</v>
      </c>
      <c r="C59" s="448" t="s">
        <v>522</v>
      </c>
      <c r="D59" s="449" t="s">
        <v>445</v>
      </c>
      <c r="E59" s="450" t="s">
        <v>370</v>
      </c>
      <c r="F59" s="434">
        <v>1</v>
      </c>
    </row>
    <row r="60" spans="2:6" s="226" customFormat="1" x14ac:dyDescent="0.25">
      <c r="B60" s="447">
        <f t="shared" ca="1" si="0"/>
        <v>4</v>
      </c>
      <c r="C60" s="448" t="s">
        <v>523</v>
      </c>
      <c r="D60" s="449" t="s">
        <v>446</v>
      </c>
      <c r="E60" s="450" t="s">
        <v>370</v>
      </c>
      <c r="F60" s="434">
        <v>0.81867540481714463</v>
      </c>
    </row>
    <row r="61" spans="2:6" s="226" customFormat="1" x14ac:dyDescent="0.25">
      <c r="B61" s="447">
        <f t="shared" ca="1" si="0"/>
        <v>5</v>
      </c>
      <c r="C61" s="448" t="s">
        <v>524</v>
      </c>
      <c r="D61" s="449" t="s">
        <v>448</v>
      </c>
      <c r="E61" s="450" t="s">
        <v>370</v>
      </c>
      <c r="F61" s="434">
        <v>0.95299999999999996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/>
      <c r="C63" s="228"/>
      <c r="D63" s="229"/>
      <c r="E63" s="230"/>
      <c r="F63" s="434"/>
    </row>
    <row r="64" spans="2:6" s="226" customFormat="1" x14ac:dyDescent="0.25">
      <c r="B64" s="227"/>
      <c r="C64" s="228"/>
      <c r="D64" s="229"/>
      <c r="E64" s="230"/>
      <c r="F64" s="434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42004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v>1</v>
      </c>
      <c r="C7" s="228" t="s">
        <v>15</v>
      </c>
      <c r="D7" s="229" t="s">
        <v>276</v>
      </c>
      <c r="E7" s="230" t="s">
        <v>370</v>
      </c>
      <c r="F7" s="434">
        <v>0.85066960190790675</v>
      </c>
    </row>
    <row r="8" spans="1:6" s="226" customFormat="1" x14ac:dyDescent="0.25">
      <c r="B8" s="227">
        <v>2</v>
      </c>
      <c r="C8" s="228" t="s">
        <v>17</v>
      </c>
      <c r="D8" s="229" t="s">
        <v>306</v>
      </c>
      <c r="E8" s="230" t="s">
        <v>370</v>
      </c>
      <c r="F8" s="434">
        <v>0.87489553943024512</v>
      </c>
    </row>
    <row r="9" spans="1:6" s="226" customFormat="1" x14ac:dyDescent="0.25">
      <c r="B9" s="227">
        <v>3</v>
      </c>
      <c r="C9" s="228" t="s">
        <v>9</v>
      </c>
      <c r="D9" s="229" t="s">
        <v>273</v>
      </c>
      <c r="E9" s="230" t="s">
        <v>370</v>
      </c>
      <c r="F9" s="434">
        <v>1</v>
      </c>
    </row>
    <row r="10" spans="1:6" s="226" customFormat="1" x14ac:dyDescent="0.25">
      <c r="B10" s="227">
        <v>4</v>
      </c>
      <c r="C10" s="228" t="s">
        <v>258</v>
      </c>
      <c r="D10" s="229" t="s">
        <v>274</v>
      </c>
      <c r="E10" s="230" t="s">
        <v>370</v>
      </c>
      <c r="F10" s="434">
        <v>0.86898193953012592</v>
      </c>
    </row>
    <row r="11" spans="1:6" s="226" customFormat="1" x14ac:dyDescent="0.25">
      <c r="B11" s="227">
        <v>5</v>
      </c>
      <c r="C11" s="228" t="s">
        <v>55</v>
      </c>
      <c r="D11" s="229" t="s">
        <v>277</v>
      </c>
      <c r="E11" s="230" t="s">
        <v>370</v>
      </c>
      <c r="F11" s="434">
        <v>0.98297869992579046</v>
      </c>
    </row>
    <row r="12" spans="1:6" s="226" customFormat="1" x14ac:dyDescent="0.25">
      <c r="B12" s="227">
        <v>6</v>
      </c>
      <c r="C12" s="228" t="s">
        <v>48</v>
      </c>
      <c r="D12" s="229" t="s">
        <v>279</v>
      </c>
      <c r="E12" s="230" t="s">
        <v>370</v>
      </c>
      <c r="F12" s="434">
        <v>0.85415133302771207</v>
      </c>
    </row>
    <row r="13" spans="1:6" s="226" customFormat="1" x14ac:dyDescent="0.25">
      <c r="B13" s="227">
        <v>7</v>
      </c>
      <c r="C13" s="228" t="s">
        <v>29</v>
      </c>
      <c r="D13" s="229" t="s">
        <v>285</v>
      </c>
      <c r="E13" s="230" t="s">
        <v>371</v>
      </c>
      <c r="F13" s="434">
        <v>0.65802997858672374</v>
      </c>
    </row>
    <row r="14" spans="1:6" s="226" customFormat="1" x14ac:dyDescent="0.25">
      <c r="B14" s="227">
        <v>8</v>
      </c>
      <c r="C14" s="228" t="s">
        <v>30</v>
      </c>
      <c r="D14" s="229" t="s">
        <v>284</v>
      </c>
      <c r="E14" s="230" t="s">
        <v>370</v>
      </c>
      <c r="F14" s="434">
        <v>0.9689233314904776</v>
      </c>
    </row>
    <row r="15" spans="1:6" s="226" customFormat="1" x14ac:dyDescent="0.25">
      <c r="B15" s="227">
        <v>9</v>
      </c>
      <c r="C15" s="228" t="s">
        <v>60</v>
      </c>
      <c r="D15" s="229" t="s">
        <v>283</v>
      </c>
      <c r="E15" s="230" t="s">
        <v>370</v>
      </c>
      <c r="F15" s="434">
        <v>0.88470158978368518</v>
      </c>
    </row>
    <row r="16" spans="1:6" s="226" customFormat="1" x14ac:dyDescent="0.25">
      <c r="B16" s="227">
        <v>10</v>
      </c>
      <c r="C16" s="228" t="s">
        <v>3</v>
      </c>
      <c r="D16" s="229" t="s">
        <v>291</v>
      </c>
      <c r="E16" s="230" t="s">
        <v>370</v>
      </c>
      <c r="F16" s="434">
        <v>0.89796425024826221</v>
      </c>
    </row>
    <row r="17" spans="2:6" s="226" customFormat="1" x14ac:dyDescent="0.25">
      <c r="B17" s="227">
        <v>11</v>
      </c>
      <c r="C17" s="228" t="s">
        <v>18</v>
      </c>
      <c r="D17" s="229" t="s">
        <v>86</v>
      </c>
      <c r="E17" s="230" t="s">
        <v>371</v>
      </c>
      <c r="F17" s="434">
        <v>0.60541110175358148</v>
      </c>
    </row>
    <row r="18" spans="2:6" s="226" customFormat="1" x14ac:dyDescent="0.25">
      <c r="B18" s="227">
        <v>12</v>
      </c>
      <c r="C18" s="228" t="s">
        <v>31</v>
      </c>
      <c r="D18" s="229" t="s">
        <v>288</v>
      </c>
      <c r="E18" s="230" t="s">
        <v>370</v>
      </c>
      <c r="F18" s="434">
        <v>0.82212054050189465</v>
      </c>
    </row>
    <row r="19" spans="2:6" s="226" customFormat="1" x14ac:dyDescent="0.25">
      <c r="B19" s="227">
        <v>13</v>
      </c>
      <c r="C19" s="228" t="s">
        <v>32</v>
      </c>
      <c r="D19" s="229" t="s">
        <v>289</v>
      </c>
      <c r="E19" s="230" t="s">
        <v>370</v>
      </c>
      <c r="F19" s="434">
        <v>0.88358780206943976</v>
      </c>
    </row>
    <row r="20" spans="2:6" s="226" customFormat="1" x14ac:dyDescent="0.25">
      <c r="B20" s="227"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v>16</v>
      </c>
      <c r="C22" s="228" t="s">
        <v>35</v>
      </c>
      <c r="D22" s="229" t="s">
        <v>292</v>
      </c>
      <c r="E22" s="230" t="s">
        <v>370</v>
      </c>
      <c r="F22" s="434">
        <v>1.0050785355208813</v>
      </c>
    </row>
    <row r="23" spans="2:6" s="226" customFormat="1" x14ac:dyDescent="0.25">
      <c r="B23" s="227">
        <v>17</v>
      </c>
      <c r="C23" s="228" t="s">
        <v>36</v>
      </c>
      <c r="D23" s="229" t="s">
        <v>296</v>
      </c>
      <c r="E23" s="230" t="s">
        <v>370</v>
      </c>
      <c r="F23" s="434">
        <v>0.82306200926438611</v>
      </c>
    </row>
    <row r="24" spans="2:6" s="226" customFormat="1" x14ac:dyDescent="0.25">
      <c r="B24" s="227">
        <v>18</v>
      </c>
      <c r="C24" s="228" t="s">
        <v>11</v>
      </c>
      <c r="D24" s="229" t="s">
        <v>297</v>
      </c>
      <c r="E24" s="230" t="s">
        <v>371</v>
      </c>
      <c r="F24" s="434">
        <v>0.50006911327666048</v>
      </c>
    </row>
    <row r="25" spans="2:6" s="226" customFormat="1" x14ac:dyDescent="0.25">
      <c r="B25" s="227">
        <v>19</v>
      </c>
      <c r="C25" s="228" t="s">
        <v>51</v>
      </c>
      <c r="D25" s="229" t="s">
        <v>298</v>
      </c>
      <c r="E25" s="230" t="s">
        <v>371</v>
      </c>
      <c r="F25" s="434">
        <v>0.66296054901660084</v>
      </c>
    </row>
    <row r="26" spans="2:6" s="226" customFormat="1" x14ac:dyDescent="0.25">
      <c r="B26" s="227">
        <v>20</v>
      </c>
      <c r="C26" s="228" t="s">
        <v>260</v>
      </c>
      <c r="D26" s="229" t="s">
        <v>300</v>
      </c>
      <c r="E26" s="230" t="s">
        <v>370</v>
      </c>
      <c r="F26" s="434">
        <v>1.0258121175673225</v>
      </c>
    </row>
    <row r="27" spans="2:6" s="226" customFormat="1" x14ac:dyDescent="0.25">
      <c r="B27" s="227">
        <v>21</v>
      </c>
      <c r="C27" s="228" t="s">
        <v>39</v>
      </c>
      <c r="D27" s="229" t="s">
        <v>301</v>
      </c>
      <c r="E27" s="230" t="s">
        <v>86</v>
      </c>
      <c r="F27" s="434">
        <v>0.49985483935719455</v>
      </c>
    </row>
    <row r="28" spans="2:6" s="226" customFormat="1" x14ac:dyDescent="0.25">
      <c r="B28" s="227">
        <v>22</v>
      </c>
      <c r="C28" s="228" t="s">
        <v>20</v>
      </c>
      <c r="D28" s="229" t="s">
        <v>302</v>
      </c>
      <c r="E28" s="230" t="s">
        <v>370</v>
      </c>
      <c r="F28" s="434">
        <v>0.98311466116060708</v>
      </c>
    </row>
    <row r="29" spans="2:6" s="226" customFormat="1" x14ac:dyDescent="0.25">
      <c r="B29" s="227">
        <v>23</v>
      </c>
      <c r="C29" s="228" t="s">
        <v>253</v>
      </c>
      <c r="D29" s="229" t="s">
        <v>330</v>
      </c>
      <c r="E29" s="230" t="s">
        <v>370</v>
      </c>
      <c r="F29" s="434">
        <v>0.91615848253855703</v>
      </c>
    </row>
    <row r="30" spans="2:6" s="226" customFormat="1" x14ac:dyDescent="0.25">
      <c r="B30" s="227">
        <v>24</v>
      </c>
      <c r="C30" s="228" t="s">
        <v>12</v>
      </c>
      <c r="D30" s="229" t="s">
        <v>308</v>
      </c>
      <c r="E30" s="230" t="s">
        <v>86</v>
      </c>
      <c r="F30" s="434">
        <v>0.3793248841417991</v>
      </c>
    </row>
    <row r="31" spans="2:6" s="226" customFormat="1" x14ac:dyDescent="0.25">
      <c r="B31" s="227">
        <v>25</v>
      </c>
      <c r="C31" s="228" t="s">
        <v>74</v>
      </c>
      <c r="D31" s="229" t="s">
        <v>309</v>
      </c>
      <c r="E31" s="230" t="s">
        <v>371</v>
      </c>
      <c r="F31" s="434">
        <v>0.78015169061523282</v>
      </c>
    </row>
    <row r="32" spans="2:6" s="226" customFormat="1" x14ac:dyDescent="0.25">
      <c r="B32" s="227">
        <v>26</v>
      </c>
      <c r="C32" s="228" t="s">
        <v>369</v>
      </c>
      <c r="D32" s="229" t="s">
        <v>368</v>
      </c>
      <c r="E32" s="230" t="s">
        <v>371</v>
      </c>
      <c r="F32" s="434">
        <v>0.52458994514807356</v>
      </c>
    </row>
    <row r="33" spans="2:6" s="226" customFormat="1" x14ac:dyDescent="0.25">
      <c r="B33" s="227">
        <v>27</v>
      </c>
      <c r="C33" s="228" t="s">
        <v>40</v>
      </c>
      <c r="D33" s="229" t="s">
        <v>310</v>
      </c>
      <c r="E33" s="230" t="s">
        <v>371</v>
      </c>
      <c r="F33" s="434">
        <v>0.58274049617353607</v>
      </c>
    </row>
    <row r="34" spans="2:6" s="226" customFormat="1" x14ac:dyDescent="0.25">
      <c r="B34" s="227">
        <v>28</v>
      </c>
      <c r="C34" s="228" t="s">
        <v>515</v>
      </c>
      <c r="D34" s="229" t="s">
        <v>511</v>
      </c>
      <c r="E34" s="230" t="s">
        <v>370</v>
      </c>
      <c r="F34" s="434">
        <v>0.9476761367452482</v>
      </c>
    </row>
    <row r="35" spans="2:6" s="226" customFormat="1" x14ac:dyDescent="0.25">
      <c r="B35" s="227">
        <v>29</v>
      </c>
      <c r="C35" s="228" t="s">
        <v>66</v>
      </c>
      <c r="D35" s="229" t="s">
        <v>314</v>
      </c>
      <c r="E35" s="230" t="s">
        <v>370</v>
      </c>
      <c r="F35" s="434">
        <v>0.99831481784170029</v>
      </c>
    </row>
    <row r="36" spans="2:6" s="226" customFormat="1" x14ac:dyDescent="0.25">
      <c r="B36" s="227">
        <v>30</v>
      </c>
      <c r="C36" s="228" t="s">
        <v>21</v>
      </c>
      <c r="D36" s="229" t="s">
        <v>315</v>
      </c>
      <c r="E36" s="230" t="s">
        <v>370</v>
      </c>
      <c r="F36" s="434">
        <v>0.8675874808455255</v>
      </c>
    </row>
    <row r="37" spans="2:6" s="226" customFormat="1" x14ac:dyDescent="0.25">
      <c r="B37" s="227">
        <v>31</v>
      </c>
      <c r="C37" s="228" t="s">
        <v>22</v>
      </c>
      <c r="D37" s="229" t="s">
        <v>316</v>
      </c>
      <c r="E37" s="230" t="s">
        <v>370</v>
      </c>
      <c r="F37" s="434">
        <v>0.82212039553860683</v>
      </c>
    </row>
    <row r="38" spans="2:6" s="226" customFormat="1" x14ac:dyDescent="0.25">
      <c r="B38" s="227">
        <v>32</v>
      </c>
      <c r="C38" s="228" t="s">
        <v>23</v>
      </c>
      <c r="D38" s="229" t="s">
        <v>322</v>
      </c>
      <c r="E38" s="230" t="s">
        <v>370</v>
      </c>
      <c r="F38" s="434">
        <v>0.87566221995276694</v>
      </c>
    </row>
    <row r="39" spans="2:6" s="226" customFormat="1" x14ac:dyDescent="0.25">
      <c r="B39" s="227"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v>35</v>
      </c>
      <c r="C41" s="228" t="s">
        <v>42</v>
      </c>
      <c r="D41" s="229" t="s">
        <v>320</v>
      </c>
      <c r="E41" s="230" t="s">
        <v>370</v>
      </c>
      <c r="F41" s="434">
        <v>0.9801980503746146</v>
      </c>
    </row>
    <row r="42" spans="2:6" s="226" customFormat="1" x14ac:dyDescent="0.25">
      <c r="B42" s="227"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v>37</v>
      </c>
      <c r="C43" s="228" t="s">
        <v>43</v>
      </c>
      <c r="D43" s="229" t="s">
        <v>324</v>
      </c>
      <c r="E43" s="230" t="s">
        <v>371</v>
      </c>
      <c r="F43" s="434">
        <v>0.74817741739001753</v>
      </c>
    </row>
    <row r="44" spans="2:6" s="226" customFormat="1" x14ac:dyDescent="0.25">
      <c r="B44" s="227">
        <v>38</v>
      </c>
      <c r="C44" s="228" t="s">
        <v>45</v>
      </c>
      <c r="D44" s="229" t="s">
        <v>318</v>
      </c>
      <c r="E44" s="230" t="s">
        <v>371</v>
      </c>
      <c r="F44" s="434">
        <v>0.62895876376192228</v>
      </c>
    </row>
    <row r="45" spans="2:6" s="226" customFormat="1" x14ac:dyDescent="0.25">
      <c r="B45" s="227">
        <v>39</v>
      </c>
      <c r="C45" s="228" t="s">
        <v>13</v>
      </c>
      <c r="D45" s="229" t="s">
        <v>326</v>
      </c>
      <c r="E45" s="230" t="s">
        <v>371</v>
      </c>
      <c r="F45" s="434">
        <v>0.75178020413007363</v>
      </c>
    </row>
    <row r="46" spans="2:6" s="226" customFormat="1" x14ac:dyDescent="0.25">
      <c r="B46" s="227">
        <v>40</v>
      </c>
      <c r="C46" s="228" t="s">
        <v>25</v>
      </c>
      <c r="D46" s="229" t="s">
        <v>328</v>
      </c>
      <c r="E46" s="230" t="s">
        <v>371</v>
      </c>
      <c r="F46" s="434">
        <v>0.75848182824927013</v>
      </c>
    </row>
    <row r="47" spans="2:6" s="226" customFormat="1" x14ac:dyDescent="0.25">
      <c r="B47" s="227">
        <v>41</v>
      </c>
      <c r="C47" s="228" t="s">
        <v>7</v>
      </c>
      <c r="D47" s="229" t="s">
        <v>327</v>
      </c>
      <c r="E47" s="230" t="s">
        <v>370</v>
      </c>
      <c r="F47" s="434">
        <v>0.911467366016666</v>
      </c>
    </row>
    <row r="48" spans="2:6" s="226" customFormat="1" x14ac:dyDescent="0.25">
      <c r="B48" s="227">
        <v>42</v>
      </c>
      <c r="C48" s="228" t="s">
        <v>62</v>
      </c>
      <c r="D48" s="229" t="s">
        <v>329</v>
      </c>
      <c r="E48" s="230" t="s">
        <v>370</v>
      </c>
      <c r="F48" s="434">
        <v>1.0182439091471658</v>
      </c>
    </row>
    <row r="49" spans="2:6" s="226" customFormat="1" x14ac:dyDescent="0.25">
      <c r="B49" s="227">
        <v>43</v>
      </c>
      <c r="C49" s="228" t="s">
        <v>75</v>
      </c>
      <c r="D49" s="229" t="s">
        <v>331</v>
      </c>
      <c r="E49" s="230" t="s">
        <v>370</v>
      </c>
      <c r="F49" s="434">
        <v>0.97107572768433081</v>
      </c>
    </row>
    <row r="50" spans="2:6" s="226" customFormat="1" x14ac:dyDescent="0.25">
      <c r="B50" s="227">
        <v>44</v>
      </c>
      <c r="C50" s="228" t="s">
        <v>76</v>
      </c>
      <c r="D50" s="229" t="s">
        <v>333</v>
      </c>
      <c r="E50" s="230" t="s">
        <v>370</v>
      </c>
      <c r="F50" s="434">
        <v>0.98020395920815839</v>
      </c>
    </row>
    <row r="51" spans="2:6" s="226" customFormat="1" x14ac:dyDescent="0.25">
      <c r="B51" s="227">
        <v>45</v>
      </c>
      <c r="C51" s="228" t="s">
        <v>14</v>
      </c>
      <c r="D51" s="229" t="s">
        <v>334</v>
      </c>
      <c r="E51" s="230" t="s">
        <v>371</v>
      </c>
      <c r="F51" s="434">
        <v>0.82606590085814458</v>
      </c>
    </row>
    <row r="52" spans="2:6" s="226" customFormat="1" x14ac:dyDescent="0.25">
      <c r="B52" s="227">
        <v>46</v>
      </c>
      <c r="C52" s="228" t="s">
        <v>59</v>
      </c>
      <c r="D52" s="229" t="s">
        <v>336</v>
      </c>
      <c r="E52" s="230" t="s">
        <v>370</v>
      </c>
      <c r="F52" s="434">
        <v>1</v>
      </c>
    </row>
    <row r="53" spans="2:6" s="226" customFormat="1" x14ac:dyDescent="0.25">
      <c r="B53" s="227">
        <v>47</v>
      </c>
      <c r="C53" s="228" t="s">
        <v>26</v>
      </c>
      <c r="D53" s="229" t="s">
        <v>335</v>
      </c>
      <c r="E53" s="230" t="s">
        <v>370</v>
      </c>
      <c r="F53" s="434">
        <v>0.98347336349367565</v>
      </c>
    </row>
    <row r="54" spans="2:6" s="226" customFormat="1" x14ac:dyDescent="0.25">
      <c r="B54" s="227">
        <v>48</v>
      </c>
      <c r="C54" s="228" t="s">
        <v>257</v>
      </c>
      <c r="D54" s="229" t="s">
        <v>337</v>
      </c>
      <c r="E54" s="230" t="s">
        <v>370</v>
      </c>
      <c r="F54" s="434">
        <v>0.99337195892319707</v>
      </c>
    </row>
    <row r="55" spans="2:6" s="226" customFormat="1" x14ac:dyDescent="0.25">
      <c r="B55" s="227"/>
      <c r="C55" s="228"/>
      <c r="D55" s="229"/>
      <c r="E55" s="230"/>
      <c r="F55" s="434"/>
    </row>
    <row r="56" spans="2:6" s="226" customFormat="1" x14ac:dyDescent="0.25">
      <c r="B56" s="227">
        <v>1</v>
      </c>
      <c r="C56" s="444" t="s">
        <v>530</v>
      </c>
      <c r="D56" s="445" t="s">
        <v>529</v>
      </c>
      <c r="E56" s="230" t="s">
        <v>370</v>
      </c>
      <c r="F56" s="434">
        <v>1</v>
      </c>
    </row>
    <row r="57" spans="2:6" s="226" customFormat="1" x14ac:dyDescent="0.25">
      <c r="B57" s="227">
        <v>2</v>
      </c>
      <c r="C57" s="228" t="s">
        <v>520</v>
      </c>
      <c r="D57" s="229" t="s">
        <v>442</v>
      </c>
      <c r="E57" s="230" t="s">
        <v>370</v>
      </c>
      <c r="F57" s="434">
        <v>1</v>
      </c>
    </row>
    <row r="58" spans="2:6" s="226" customFormat="1" x14ac:dyDescent="0.25">
      <c r="B58" s="227">
        <v>3</v>
      </c>
      <c r="C58" s="228" t="s">
        <v>521</v>
      </c>
      <c r="D58" s="229" t="s">
        <v>444</v>
      </c>
      <c r="E58" s="230" t="s">
        <v>86</v>
      </c>
      <c r="F58" s="434">
        <v>0.20685175054704596</v>
      </c>
    </row>
    <row r="59" spans="2:6" s="226" customFormat="1" x14ac:dyDescent="0.25">
      <c r="B59" s="227">
        <v>4</v>
      </c>
      <c r="C59" s="228" t="s">
        <v>522</v>
      </c>
      <c r="D59" s="229" t="s">
        <v>445</v>
      </c>
      <c r="E59" s="230" t="s">
        <v>370</v>
      </c>
      <c r="F59" s="434">
        <v>1</v>
      </c>
    </row>
    <row r="60" spans="2:6" s="226" customFormat="1" x14ac:dyDescent="0.25">
      <c r="B60" s="227">
        <v>5</v>
      </c>
      <c r="C60" s="228" t="s">
        <v>523</v>
      </c>
      <c r="D60" s="229" t="s">
        <v>446</v>
      </c>
      <c r="E60" s="230" t="s">
        <v>371</v>
      </c>
      <c r="F60" s="434">
        <v>0.78488758123806135</v>
      </c>
    </row>
    <row r="61" spans="2:6" s="226" customFormat="1" x14ac:dyDescent="0.25">
      <c r="B61" s="227">
        <v>6</v>
      </c>
      <c r="C61" s="228" t="s">
        <v>524</v>
      </c>
      <c r="D61" s="229" t="s">
        <v>448</v>
      </c>
      <c r="E61" s="230" t="s">
        <v>370</v>
      </c>
      <c r="F61" s="434">
        <v>0.95403000000000004</v>
      </c>
    </row>
    <row r="62" spans="2:6" s="226" customFormat="1" x14ac:dyDescent="0.25">
      <c r="B62" s="227"/>
      <c r="C62" s="228"/>
      <c r="D62" s="229"/>
      <c r="E62" s="230"/>
      <c r="F62" s="434"/>
    </row>
    <row r="63" spans="2:6" s="226" customFormat="1" x14ac:dyDescent="0.25">
      <c r="B63" s="227">
        <v>1</v>
      </c>
      <c r="C63" s="228" t="s">
        <v>1</v>
      </c>
      <c r="D63" s="229" t="s">
        <v>282</v>
      </c>
      <c r="E63" s="230"/>
    </row>
    <row r="64" spans="2:6" s="226" customFormat="1" x14ac:dyDescent="0.25">
      <c r="B64" s="227">
        <v>2</v>
      </c>
      <c r="C64" s="228" t="s">
        <v>265</v>
      </c>
      <c r="D64" s="229" t="s">
        <v>313</v>
      </c>
      <c r="E64" s="230"/>
    </row>
    <row r="65" spans="2:6" s="226" customFormat="1" x14ac:dyDescent="0.25">
      <c r="B65" s="227"/>
      <c r="C65" s="228"/>
      <c r="D65" s="229"/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FFFF00"/>
  </sheetPr>
  <dimension ref="A1:F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3" sqref="E3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6" s="214" customFormat="1" ht="18" x14ac:dyDescent="0.25">
      <c r="A1" s="214" t="s">
        <v>432</v>
      </c>
      <c r="C1" s="215"/>
      <c r="D1" s="216"/>
      <c r="E1" s="217"/>
    </row>
    <row r="2" spans="1:6" s="214" customFormat="1" x14ac:dyDescent="0.25">
      <c r="C2" s="218"/>
      <c r="D2" s="216"/>
      <c r="E2" s="217"/>
    </row>
    <row r="3" spans="1:6" x14ac:dyDescent="0.25">
      <c r="E3" s="231">
        <v>41639</v>
      </c>
    </row>
    <row r="4" spans="1:6" x14ac:dyDescent="0.25">
      <c r="C4" s="214"/>
      <c r="D4" s="216"/>
    </row>
    <row r="5" spans="1:6" s="219" customFormat="1" ht="27.6" x14ac:dyDescent="0.25">
      <c r="C5" s="220" t="s">
        <v>0</v>
      </c>
      <c r="D5" s="221" t="s">
        <v>433</v>
      </c>
      <c r="E5" s="222" t="s">
        <v>434</v>
      </c>
    </row>
    <row r="6" spans="1:6" x14ac:dyDescent="0.25">
      <c r="C6" s="223"/>
      <c r="D6" s="224"/>
      <c r="E6" s="225"/>
    </row>
    <row r="7" spans="1:6" s="226" customFormat="1" x14ac:dyDescent="0.25">
      <c r="B7" s="227">
        <f t="shared" ref="B7:B62" ca="1" si="0">OFFSET( B7, -1, 0 ) + 1</f>
        <v>1</v>
      </c>
      <c r="C7" s="228" t="s">
        <v>15</v>
      </c>
      <c r="D7" s="229" t="s">
        <v>276</v>
      </c>
      <c r="E7" s="230" t="s">
        <v>370</v>
      </c>
      <c r="F7" s="434">
        <v>0.90911182696732629</v>
      </c>
    </row>
    <row r="8" spans="1:6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  <c r="F8" s="434">
        <v>0.88890788668514453</v>
      </c>
    </row>
    <row r="9" spans="1:6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  <c r="F9" s="434">
        <v>0.97514010633711745</v>
      </c>
    </row>
    <row r="10" spans="1:6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  <c r="F10" s="434">
        <v>0.8323465806360123</v>
      </c>
    </row>
    <row r="11" spans="1:6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  <c r="F11" s="434">
        <v>0.9035001305616811</v>
      </c>
    </row>
    <row r="12" spans="1:6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  <c r="F12" s="434">
        <v>0.85971896000648229</v>
      </c>
    </row>
    <row r="13" spans="1:6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  <c r="F13" s="434">
        <v>0.66671239140374938</v>
      </c>
    </row>
    <row r="14" spans="1:6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  <c r="F14" s="434">
        <v>0.93557933053746112</v>
      </c>
    </row>
    <row r="15" spans="1:6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  <c r="F15" s="434">
        <v>0.87683739090491497</v>
      </c>
    </row>
    <row r="16" spans="1:6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  <c r="F16" s="434">
        <v>0.89118508130981378</v>
      </c>
    </row>
    <row r="17" spans="2:6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  <c r="F17" s="434">
        <v>0.6031767271522398</v>
      </c>
    </row>
    <row r="18" spans="2:6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  <c r="F18" s="434">
        <v>0.82691343743975321</v>
      </c>
    </row>
    <row r="19" spans="2:6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  <c r="F19" s="434">
        <v>0.87022887461992182</v>
      </c>
    </row>
    <row r="20" spans="2:6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  <c r="F20" s="434">
        <v>1</v>
      </c>
    </row>
    <row r="21" spans="2:6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  <c r="F21" s="434">
        <v>1</v>
      </c>
    </row>
    <row r="22" spans="2:6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  <c r="F22" s="434">
        <v>1.0060255146162436</v>
      </c>
    </row>
    <row r="23" spans="2:6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  <c r="F23" s="434">
        <v>0.81876283997081911</v>
      </c>
    </row>
    <row r="24" spans="2:6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  <c r="F24" s="434">
        <v>0.52044442220109099</v>
      </c>
    </row>
    <row r="25" spans="2:6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  <c r="F25" s="434">
        <v>0.65306203395208628</v>
      </c>
    </row>
    <row r="26" spans="2:6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  <c r="F26" s="434">
        <v>1.0228882945055842</v>
      </c>
    </row>
    <row r="27" spans="2:6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86</v>
      </c>
      <c r="F27" s="434">
        <v>0.49198330297240517</v>
      </c>
    </row>
    <row r="28" spans="2:6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  <c r="F28" s="434">
        <v>0.98170363550581841</v>
      </c>
    </row>
    <row r="29" spans="2:6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  <c r="F29" s="434">
        <v>0.86226708765064253</v>
      </c>
    </row>
    <row r="30" spans="2:6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  <c r="F30" s="434">
        <v>0.37816533764451238</v>
      </c>
    </row>
    <row r="31" spans="2:6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  <c r="F31" s="434">
        <v>0.77859929325041477</v>
      </c>
    </row>
    <row r="32" spans="2:6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  <c r="F32" s="434">
        <v>0.52647678411681531</v>
      </c>
    </row>
    <row r="33" spans="2:6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  <c r="F33" s="434">
        <v>0.57990014964310777</v>
      </c>
    </row>
    <row r="34" spans="2:6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  <c r="F34" s="434">
        <v>0.96294364195643178</v>
      </c>
    </row>
    <row r="35" spans="2:6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  <c r="F35" s="434">
        <v>0.99627347749551853</v>
      </c>
    </row>
    <row r="36" spans="2:6" s="226" customFormat="1" x14ac:dyDescent="0.25">
      <c r="B36" s="227">
        <f t="shared" ca="1" si="0"/>
        <v>30</v>
      </c>
      <c r="C36" s="228" t="s">
        <v>21</v>
      </c>
      <c r="D36" s="229" t="s">
        <v>315</v>
      </c>
      <c r="E36" s="230" t="s">
        <v>370</v>
      </c>
      <c r="F36" s="434">
        <v>0.84238124952105697</v>
      </c>
    </row>
    <row r="37" spans="2:6" s="226" customFormat="1" x14ac:dyDescent="0.25">
      <c r="B37" s="227">
        <f t="shared" ca="1" si="0"/>
        <v>31</v>
      </c>
      <c r="C37" s="228" t="s">
        <v>22</v>
      </c>
      <c r="D37" s="229" t="s">
        <v>316</v>
      </c>
      <c r="E37" s="230" t="s">
        <v>370</v>
      </c>
      <c r="F37" s="434">
        <v>0.80852170306243221</v>
      </c>
    </row>
    <row r="38" spans="2:6" s="226" customFormat="1" x14ac:dyDescent="0.25">
      <c r="B38" s="227">
        <f t="shared" ca="1" si="0"/>
        <v>32</v>
      </c>
      <c r="C38" s="228" t="s">
        <v>23</v>
      </c>
      <c r="D38" s="229" t="s">
        <v>322</v>
      </c>
      <c r="E38" s="230" t="s">
        <v>370</v>
      </c>
      <c r="F38" s="434">
        <v>0.87741631305987744</v>
      </c>
    </row>
    <row r="39" spans="2:6" s="226" customFormat="1" x14ac:dyDescent="0.25">
      <c r="B39" s="227">
        <f t="shared" ca="1" si="0"/>
        <v>33</v>
      </c>
      <c r="C39" s="228" t="s">
        <v>53</v>
      </c>
      <c r="D39" s="229" t="s">
        <v>317</v>
      </c>
      <c r="E39" s="230" t="s">
        <v>370</v>
      </c>
      <c r="F39" s="434">
        <v>1</v>
      </c>
    </row>
    <row r="40" spans="2:6" s="226" customFormat="1" x14ac:dyDescent="0.25">
      <c r="B40" s="227">
        <f t="shared" ca="1" si="0"/>
        <v>34</v>
      </c>
      <c r="C40" s="228" t="s">
        <v>41</v>
      </c>
      <c r="D40" s="229" t="s">
        <v>321</v>
      </c>
      <c r="E40" s="230" t="s">
        <v>370</v>
      </c>
      <c r="F40" s="434">
        <v>1</v>
      </c>
    </row>
    <row r="41" spans="2:6" s="226" customFormat="1" x14ac:dyDescent="0.25">
      <c r="B41" s="227">
        <f t="shared" ca="1" si="0"/>
        <v>35</v>
      </c>
      <c r="C41" s="228" t="s">
        <v>42</v>
      </c>
      <c r="D41" s="229" t="s">
        <v>320</v>
      </c>
      <c r="E41" s="230" t="s">
        <v>370</v>
      </c>
      <c r="F41" s="434">
        <v>0.97997112837509848</v>
      </c>
    </row>
    <row r="42" spans="2:6" s="226" customFormat="1" x14ac:dyDescent="0.25">
      <c r="B42" s="227">
        <f t="shared" ca="1" si="0"/>
        <v>36</v>
      </c>
      <c r="C42" s="228" t="s">
        <v>24</v>
      </c>
      <c r="D42" s="229" t="s">
        <v>323</v>
      </c>
      <c r="E42" s="230" t="s">
        <v>370</v>
      </c>
      <c r="F42" s="434">
        <v>1</v>
      </c>
    </row>
    <row r="43" spans="2:6" s="226" customFormat="1" x14ac:dyDescent="0.25">
      <c r="B43" s="227">
        <f t="shared" ca="1" si="0"/>
        <v>37</v>
      </c>
      <c r="C43" s="228" t="s">
        <v>43</v>
      </c>
      <c r="D43" s="229" t="s">
        <v>324</v>
      </c>
      <c r="E43" s="230" t="s">
        <v>371</v>
      </c>
      <c r="F43" s="434">
        <v>0.74506486245544123</v>
      </c>
    </row>
    <row r="44" spans="2:6" s="226" customFormat="1" x14ac:dyDescent="0.25">
      <c r="B44" s="227">
        <f t="shared" ca="1" si="0"/>
        <v>38</v>
      </c>
      <c r="C44" s="228" t="s">
        <v>45</v>
      </c>
      <c r="D44" s="229" t="s">
        <v>318</v>
      </c>
      <c r="E44" s="230" t="s">
        <v>371</v>
      </c>
      <c r="F44" s="434">
        <v>0.60635877252321502</v>
      </c>
    </row>
    <row r="45" spans="2:6" s="226" customFormat="1" x14ac:dyDescent="0.25">
      <c r="B45" s="227">
        <f t="shared" ca="1" si="0"/>
        <v>39</v>
      </c>
      <c r="C45" s="228" t="s">
        <v>13</v>
      </c>
      <c r="D45" s="229" t="s">
        <v>326</v>
      </c>
      <c r="E45" s="230" t="s">
        <v>371</v>
      </c>
      <c r="F45" s="434">
        <v>0.78000527565286204</v>
      </c>
    </row>
    <row r="46" spans="2:6" s="226" customFormat="1" x14ac:dyDescent="0.25">
      <c r="B46" s="227">
        <f t="shared" ca="1" si="0"/>
        <v>40</v>
      </c>
      <c r="C46" s="228" t="s">
        <v>25</v>
      </c>
      <c r="D46" s="229" t="s">
        <v>328</v>
      </c>
      <c r="E46" s="230" t="s">
        <v>371</v>
      </c>
      <c r="F46" s="434">
        <v>0.75327569541402639</v>
      </c>
    </row>
    <row r="47" spans="2:6" s="226" customFormat="1" x14ac:dyDescent="0.25">
      <c r="B47" s="227">
        <f t="shared" ca="1" si="0"/>
        <v>41</v>
      </c>
      <c r="C47" s="228" t="s">
        <v>7</v>
      </c>
      <c r="D47" s="229" t="s">
        <v>327</v>
      </c>
      <c r="E47" s="230" t="s">
        <v>370</v>
      </c>
      <c r="F47" s="434">
        <v>0.92100207603879403</v>
      </c>
    </row>
    <row r="48" spans="2:6" s="226" customFormat="1" x14ac:dyDescent="0.25">
      <c r="B48" s="227">
        <f t="shared" ca="1" si="0"/>
        <v>42</v>
      </c>
      <c r="C48" s="228" t="s">
        <v>62</v>
      </c>
      <c r="D48" s="229" t="s">
        <v>329</v>
      </c>
      <c r="E48" s="230" t="s">
        <v>370</v>
      </c>
      <c r="F48" s="434">
        <v>0.95973415682062291</v>
      </c>
    </row>
    <row r="49" spans="2:6" s="226" customFormat="1" x14ac:dyDescent="0.25">
      <c r="B49" s="227">
        <f t="shared" ca="1" si="0"/>
        <v>43</v>
      </c>
      <c r="C49" s="228" t="s">
        <v>75</v>
      </c>
      <c r="D49" s="229" t="s">
        <v>331</v>
      </c>
      <c r="E49" s="230" t="s">
        <v>370</v>
      </c>
      <c r="F49" s="434">
        <v>0.96437419083942755</v>
      </c>
    </row>
    <row r="50" spans="2:6" s="226" customFormat="1" x14ac:dyDescent="0.25">
      <c r="B50" s="227">
        <f t="shared" ca="1" si="0"/>
        <v>44</v>
      </c>
      <c r="C50" s="228" t="s">
        <v>76</v>
      </c>
      <c r="D50" s="229" t="s">
        <v>333</v>
      </c>
      <c r="E50" s="230" t="s">
        <v>370</v>
      </c>
      <c r="F50" s="434">
        <v>0.98316315446447966</v>
      </c>
    </row>
    <row r="51" spans="2:6" s="226" customFormat="1" x14ac:dyDescent="0.25">
      <c r="B51" s="227">
        <f t="shared" ca="1" si="0"/>
        <v>45</v>
      </c>
      <c r="C51" s="228" t="s">
        <v>427</v>
      </c>
      <c r="D51" s="229" t="s">
        <v>332</v>
      </c>
      <c r="E51" s="230" t="s">
        <v>370</v>
      </c>
      <c r="F51" s="434">
        <v>0.99953194476948282</v>
      </c>
    </row>
    <row r="52" spans="2:6" s="226" customFormat="1" x14ac:dyDescent="0.25">
      <c r="B52" s="227">
        <f t="shared" ca="1" si="0"/>
        <v>46</v>
      </c>
      <c r="C52" s="228" t="s">
        <v>14</v>
      </c>
      <c r="D52" s="229" t="s">
        <v>334</v>
      </c>
      <c r="E52" s="230" t="s">
        <v>371</v>
      </c>
      <c r="F52" s="434">
        <v>0.77742719397953985</v>
      </c>
    </row>
    <row r="53" spans="2:6" s="226" customFormat="1" x14ac:dyDescent="0.25">
      <c r="B53" s="227">
        <f t="shared" ca="1" si="0"/>
        <v>47</v>
      </c>
      <c r="C53" s="228" t="s">
        <v>59</v>
      </c>
      <c r="D53" s="229" t="s">
        <v>336</v>
      </c>
      <c r="E53" s="230" t="s">
        <v>370</v>
      </c>
      <c r="F53" s="434">
        <v>1</v>
      </c>
    </row>
    <row r="54" spans="2:6" s="226" customFormat="1" x14ac:dyDescent="0.25">
      <c r="B54" s="227">
        <f t="shared" ca="1" si="0"/>
        <v>48</v>
      </c>
      <c r="C54" s="228" t="s">
        <v>26</v>
      </c>
      <c r="D54" s="229" t="s">
        <v>335</v>
      </c>
      <c r="E54" s="230" t="s">
        <v>370</v>
      </c>
      <c r="F54" s="434">
        <v>0.97907836472707066</v>
      </c>
    </row>
    <row r="55" spans="2:6" s="226" customFormat="1" x14ac:dyDescent="0.25">
      <c r="B55" s="227">
        <f t="shared" ca="1" si="0"/>
        <v>49</v>
      </c>
      <c r="C55" s="228" t="s">
        <v>257</v>
      </c>
      <c r="D55" s="229" t="s">
        <v>337</v>
      </c>
      <c r="E55" s="230" t="s">
        <v>370</v>
      </c>
      <c r="F55" s="434">
        <v>0.99302150358307584</v>
      </c>
    </row>
    <row r="56" spans="2:6" s="226" customFormat="1" x14ac:dyDescent="0.25">
      <c r="B56" s="227"/>
      <c r="C56" s="228"/>
      <c r="D56" s="229"/>
      <c r="E56" s="230"/>
      <c r="F56" s="434"/>
    </row>
    <row r="57" spans="2:6" s="226" customFormat="1" x14ac:dyDescent="0.25">
      <c r="B57" s="227">
        <f t="shared" ca="1" si="0"/>
        <v>1</v>
      </c>
      <c r="C57" s="228" t="s">
        <v>451</v>
      </c>
      <c r="D57" s="229" t="s">
        <v>443</v>
      </c>
      <c r="E57" s="230" t="s">
        <v>370</v>
      </c>
      <c r="F57" s="434">
        <v>1</v>
      </c>
    </row>
    <row r="58" spans="2:6" s="226" customFormat="1" x14ac:dyDescent="0.25">
      <c r="B58" s="227">
        <f t="shared" ca="1" si="0"/>
        <v>2</v>
      </c>
      <c r="C58" s="228" t="s">
        <v>64</v>
      </c>
      <c r="D58" s="229" t="s">
        <v>442</v>
      </c>
      <c r="E58" s="230" t="s">
        <v>370</v>
      </c>
      <c r="F58" s="434">
        <v>1</v>
      </c>
    </row>
    <row r="59" spans="2:6" s="226" customFormat="1" x14ac:dyDescent="0.25">
      <c r="B59" s="227">
        <f t="shared" ca="1" si="0"/>
        <v>3</v>
      </c>
      <c r="C59" s="228" t="s">
        <v>248</v>
      </c>
      <c r="D59" s="229" t="s">
        <v>444</v>
      </c>
      <c r="E59" s="230" t="s">
        <v>86</v>
      </c>
      <c r="F59" s="434">
        <v>0.14258999999999999</v>
      </c>
    </row>
    <row r="60" spans="2:6" s="226" customFormat="1" x14ac:dyDescent="0.25">
      <c r="B60" s="227">
        <f t="shared" ca="1" si="0"/>
        <v>4</v>
      </c>
      <c r="C60" s="228" t="s">
        <v>58</v>
      </c>
      <c r="D60" s="229" t="s">
        <v>445</v>
      </c>
      <c r="E60" s="230" t="s">
        <v>370</v>
      </c>
      <c r="F60" s="434">
        <v>1</v>
      </c>
    </row>
    <row r="61" spans="2:6" s="226" customFormat="1" x14ac:dyDescent="0.25">
      <c r="B61" s="227">
        <f t="shared" ca="1" si="0"/>
        <v>5</v>
      </c>
      <c r="C61" s="228" t="s">
        <v>52</v>
      </c>
      <c r="D61" s="229" t="s">
        <v>446</v>
      </c>
      <c r="E61" s="230" t="s">
        <v>371</v>
      </c>
      <c r="F61" s="434">
        <v>0.77944722987807114</v>
      </c>
    </row>
    <row r="62" spans="2:6" s="226" customFormat="1" x14ac:dyDescent="0.25">
      <c r="B62" s="227">
        <f t="shared" ca="1" si="0"/>
        <v>6</v>
      </c>
      <c r="C62" s="228" t="s">
        <v>54</v>
      </c>
      <c r="D62" s="229" t="s">
        <v>448</v>
      </c>
      <c r="E62" s="230" t="s">
        <v>370</v>
      </c>
      <c r="F62" s="434">
        <v>0.94986000000000004</v>
      </c>
    </row>
    <row r="63" spans="2:6" s="226" customFormat="1" x14ac:dyDescent="0.25">
      <c r="B63" s="227"/>
      <c r="C63" s="228"/>
      <c r="D63" s="229"/>
      <c r="E63" s="230"/>
    </row>
    <row r="64" spans="2:6" s="226" customFormat="1" x14ac:dyDescent="0.25">
      <c r="B64" s="227">
        <f t="shared" ref="B64" ca="1" si="1">OFFSET( B64, -1, 0 ) + 1</f>
        <v>1</v>
      </c>
      <c r="C64" s="228" t="s">
        <v>1</v>
      </c>
      <c r="D64" s="229" t="s">
        <v>282</v>
      </c>
      <c r="E64" s="230"/>
    </row>
    <row r="65" spans="2:6" s="226" customFormat="1" x14ac:dyDescent="0.25">
      <c r="B65" s="227">
        <f ca="1">OFFSET( B65, -1, 0 ) + 1</f>
        <v>2</v>
      </c>
      <c r="C65" s="228" t="s">
        <v>265</v>
      </c>
      <c r="D65" s="229" t="s">
        <v>313</v>
      </c>
      <c r="E65" s="230"/>
      <c r="F65" s="43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rgb="FFFFFF00"/>
  </sheetPr>
  <dimension ref="A1:E65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41274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3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370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30</v>
      </c>
      <c r="D14" s="229" t="s">
        <v>284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60</v>
      </c>
      <c r="D15" s="229" t="s">
        <v>283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</v>
      </c>
      <c r="D16" s="229" t="s">
        <v>291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18</v>
      </c>
      <c r="D17" s="229" t="s">
        <v>86</v>
      </c>
      <c r="E17" s="230" t="s">
        <v>371</v>
      </c>
    </row>
    <row r="18" spans="2:5" s="226" customFormat="1" x14ac:dyDescent="0.25">
      <c r="B18" s="227">
        <f t="shared" ca="1" si="0"/>
        <v>12</v>
      </c>
      <c r="C18" s="228" t="s">
        <v>31</v>
      </c>
      <c r="D18" s="229" t="s">
        <v>288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32</v>
      </c>
      <c r="D19" s="229" t="s">
        <v>289</v>
      </c>
      <c r="E19" s="230" t="s">
        <v>370</v>
      </c>
    </row>
    <row r="20" spans="2:5" s="226" customFormat="1" x14ac:dyDescent="0.25">
      <c r="B20" s="227">
        <f t="shared" ca="1" si="0"/>
        <v>14</v>
      </c>
      <c r="C20" s="228" t="s">
        <v>57</v>
      </c>
      <c r="D20" s="229" t="s">
        <v>295</v>
      </c>
      <c r="E20" s="230" t="s">
        <v>370</v>
      </c>
    </row>
    <row r="21" spans="2:5" s="226" customFormat="1" x14ac:dyDescent="0.25">
      <c r="B21" s="227">
        <f t="shared" ca="1" si="0"/>
        <v>15</v>
      </c>
      <c r="C21" s="228" t="s">
        <v>34</v>
      </c>
      <c r="D21" s="229" t="s">
        <v>293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35</v>
      </c>
      <c r="D22" s="229" t="s">
        <v>292</v>
      </c>
      <c r="E22" s="230" t="s">
        <v>370</v>
      </c>
    </row>
    <row r="23" spans="2:5" s="226" customFormat="1" x14ac:dyDescent="0.25">
      <c r="B23" s="227">
        <f t="shared" ca="1" si="0"/>
        <v>17</v>
      </c>
      <c r="C23" s="228" t="s">
        <v>36</v>
      </c>
      <c r="D23" s="229" t="s">
        <v>296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11</v>
      </c>
      <c r="D24" s="229" t="s">
        <v>297</v>
      </c>
      <c r="E24" s="230" t="s">
        <v>371</v>
      </c>
    </row>
    <row r="25" spans="2:5" s="226" customFormat="1" x14ac:dyDescent="0.25">
      <c r="B25" s="227">
        <f t="shared" ca="1" si="0"/>
        <v>19</v>
      </c>
      <c r="C25" s="228" t="s">
        <v>51</v>
      </c>
      <c r="D25" s="229" t="s">
        <v>298</v>
      </c>
      <c r="E25" s="230" t="s">
        <v>371</v>
      </c>
    </row>
    <row r="26" spans="2:5" s="226" customFormat="1" x14ac:dyDescent="0.25">
      <c r="B26" s="227">
        <f t="shared" ca="1" si="0"/>
        <v>20</v>
      </c>
      <c r="C26" s="228" t="s">
        <v>260</v>
      </c>
      <c r="D26" s="229" t="s">
        <v>300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39</v>
      </c>
      <c r="D27" s="229" t="s">
        <v>301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20</v>
      </c>
      <c r="D28" s="229" t="s">
        <v>302</v>
      </c>
      <c r="E28" s="230" t="s">
        <v>370</v>
      </c>
    </row>
    <row r="29" spans="2:5" s="226" customFormat="1" x14ac:dyDescent="0.25">
      <c r="B29" s="227">
        <f t="shared" ca="1" si="0"/>
        <v>23</v>
      </c>
      <c r="C29" s="228" t="s">
        <v>253</v>
      </c>
      <c r="D29" s="229" t="s">
        <v>330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12</v>
      </c>
      <c r="D30" s="229" t="s">
        <v>308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74</v>
      </c>
      <c r="D31" s="229" t="s">
        <v>309</v>
      </c>
      <c r="E31" s="230" t="s">
        <v>371</v>
      </c>
    </row>
    <row r="32" spans="2:5" s="226" customFormat="1" x14ac:dyDescent="0.25">
      <c r="B32" s="227">
        <f t="shared" ca="1" si="0"/>
        <v>26</v>
      </c>
      <c r="C32" s="228" t="s">
        <v>369</v>
      </c>
      <c r="D32" s="229" t="s">
        <v>368</v>
      </c>
      <c r="E32" s="230" t="s">
        <v>371</v>
      </c>
    </row>
    <row r="33" spans="2:5" s="226" customFormat="1" x14ac:dyDescent="0.25">
      <c r="B33" s="227">
        <f t="shared" ca="1" si="0"/>
        <v>27</v>
      </c>
      <c r="C33" s="228" t="s">
        <v>40</v>
      </c>
      <c r="D33" s="229" t="s">
        <v>310</v>
      </c>
      <c r="E33" s="230" t="s">
        <v>371</v>
      </c>
    </row>
    <row r="34" spans="2:5" s="226" customFormat="1" x14ac:dyDescent="0.25">
      <c r="B34" s="227">
        <f t="shared" ca="1" si="0"/>
        <v>28</v>
      </c>
      <c r="C34" s="228" t="s">
        <v>512</v>
      </c>
      <c r="D34" s="229" t="s">
        <v>511</v>
      </c>
      <c r="E34" s="230" t="s">
        <v>370</v>
      </c>
    </row>
    <row r="35" spans="2:5" s="226" customFormat="1" x14ac:dyDescent="0.25">
      <c r="B35" s="227">
        <f t="shared" ca="1" si="0"/>
        <v>29</v>
      </c>
      <c r="C35" s="228" t="s">
        <v>66</v>
      </c>
      <c r="D35" s="229" t="s">
        <v>314</v>
      </c>
      <c r="E35" s="230" t="s">
        <v>370</v>
      </c>
    </row>
    <row r="36" spans="2:5" s="226" customFormat="1" x14ac:dyDescent="0.25">
      <c r="B36" s="227">
        <f t="shared" ca="1" si="0"/>
        <v>30</v>
      </c>
      <c r="C36" s="228" t="s">
        <v>265</v>
      </c>
      <c r="D36" s="229" t="s">
        <v>313</v>
      </c>
      <c r="E36" s="230" t="s">
        <v>370</v>
      </c>
    </row>
    <row r="37" spans="2:5" s="226" customFormat="1" x14ac:dyDescent="0.25">
      <c r="B37" s="227">
        <f t="shared" ca="1" si="0"/>
        <v>31</v>
      </c>
      <c r="C37" s="228" t="s">
        <v>21</v>
      </c>
      <c r="D37" s="229" t="s">
        <v>315</v>
      </c>
      <c r="E37" s="230" t="s">
        <v>371</v>
      </c>
    </row>
    <row r="38" spans="2:5" s="226" customFormat="1" x14ac:dyDescent="0.25">
      <c r="B38" s="227">
        <f t="shared" ca="1" si="0"/>
        <v>32</v>
      </c>
      <c r="C38" s="228" t="s">
        <v>22</v>
      </c>
      <c r="D38" s="229" t="s">
        <v>316</v>
      </c>
      <c r="E38" s="230" t="s">
        <v>371</v>
      </c>
    </row>
    <row r="39" spans="2:5" s="226" customFormat="1" x14ac:dyDescent="0.25">
      <c r="B39" s="227">
        <f t="shared" ca="1" si="0"/>
        <v>33</v>
      </c>
      <c r="C39" s="228" t="s">
        <v>23</v>
      </c>
      <c r="D39" s="229" t="s">
        <v>322</v>
      </c>
      <c r="E39" s="230" t="s">
        <v>371</v>
      </c>
    </row>
    <row r="40" spans="2:5" s="226" customFormat="1" x14ac:dyDescent="0.25">
      <c r="B40" s="227">
        <f t="shared" ca="1" si="0"/>
        <v>34</v>
      </c>
      <c r="C40" s="228" t="s">
        <v>53</v>
      </c>
      <c r="D40" s="229" t="s">
        <v>317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41</v>
      </c>
      <c r="D41" s="229" t="s">
        <v>321</v>
      </c>
      <c r="E41" s="230" t="s">
        <v>370</v>
      </c>
    </row>
    <row r="42" spans="2:5" s="226" customFormat="1" x14ac:dyDescent="0.25">
      <c r="B42" s="227">
        <f t="shared" ca="1" si="0"/>
        <v>36</v>
      </c>
      <c r="C42" s="228" t="s">
        <v>42</v>
      </c>
      <c r="D42" s="229" t="s">
        <v>320</v>
      </c>
      <c r="E42" s="230" t="s">
        <v>370</v>
      </c>
    </row>
    <row r="43" spans="2:5" s="226" customFormat="1" x14ac:dyDescent="0.25">
      <c r="B43" s="227">
        <f t="shared" ca="1" si="0"/>
        <v>37</v>
      </c>
      <c r="C43" s="228" t="s">
        <v>24</v>
      </c>
      <c r="D43" s="229" t="s">
        <v>323</v>
      </c>
      <c r="E43" s="230" t="s">
        <v>370</v>
      </c>
    </row>
    <row r="44" spans="2:5" s="226" customFormat="1" x14ac:dyDescent="0.25">
      <c r="B44" s="227">
        <f t="shared" ca="1" si="0"/>
        <v>38</v>
      </c>
      <c r="C44" s="228" t="s">
        <v>43</v>
      </c>
      <c r="D44" s="229" t="s">
        <v>324</v>
      </c>
      <c r="E44" s="230" t="s">
        <v>371</v>
      </c>
    </row>
    <row r="45" spans="2:5" s="226" customFormat="1" x14ac:dyDescent="0.25">
      <c r="B45" s="227">
        <f t="shared" ca="1" si="0"/>
        <v>39</v>
      </c>
      <c r="C45" s="228" t="s">
        <v>45</v>
      </c>
      <c r="D45" s="229" t="s">
        <v>318</v>
      </c>
      <c r="E45" s="230" t="s">
        <v>371</v>
      </c>
    </row>
    <row r="46" spans="2:5" s="226" customFormat="1" x14ac:dyDescent="0.25">
      <c r="B46" s="227">
        <f t="shared" ca="1" si="0"/>
        <v>40</v>
      </c>
      <c r="C46" s="228" t="s">
        <v>13</v>
      </c>
      <c r="D46" s="229" t="s">
        <v>326</v>
      </c>
      <c r="E46" s="230" t="s">
        <v>371</v>
      </c>
    </row>
    <row r="47" spans="2:5" s="226" customFormat="1" x14ac:dyDescent="0.25">
      <c r="B47" s="227">
        <f t="shared" ca="1" si="0"/>
        <v>41</v>
      </c>
      <c r="C47" s="228" t="s">
        <v>25</v>
      </c>
      <c r="D47" s="229" t="s">
        <v>328</v>
      </c>
      <c r="E47" s="230" t="s">
        <v>371</v>
      </c>
    </row>
    <row r="48" spans="2:5" s="226" customFormat="1" x14ac:dyDescent="0.25">
      <c r="B48" s="227">
        <f t="shared" ca="1" si="0"/>
        <v>42</v>
      </c>
      <c r="C48" s="228" t="s">
        <v>7</v>
      </c>
      <c r="D48" s="229" t="s">
        <v>327</v>
      </c>
      <c r="E48" s="230" t="s">
        <v>370</v>
      </c>
    </row>
    <row r="49" spans="2:5" s="226" customFormat="1" x14ac:dyDescent="0.25">
      <c r="B49" s="227">
        <f t="shared" ca="1" si="0"/>
        <v>43</v>
      </c>
      <c r="C49" s="228" t="s">
        <v>62</v>
      </c>
      <c r="D49" s="229" t="s">
        <v>329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75</v>
      </c>
      <c r="D50" s="229" t="s">
        <v>331</v>
      </c>
      <c r="E50" s="230" t="s">
        <v>370</v>
      </c>
    </row>
    <row r="51" spans="2:5" s="226" customFormat="1" x14ac:dyDescent="0.25">
      <c r="B51" s="227">
        <f t="shared" ca="1" si="0"/>
        <v>45</v>
      </c>
      <c r="C51" s="228" t="s">
        <v>76</v>
      </c>
      <c r="D51" s="229" t="s">
        <v>333</v>
      </c>
      <c r="E51" s="230" t="s">
        <v>370</v>
      </c>
    </row>
    <row r="52" spans="2:5" s="226" customFormat="1" x14ac:dyDescent="0.25">
      <c r="B52" s="227">
        <f t="shared" ca="1" si="0"/>
        <v>46</v>
      </c>
      <c r="C52" s="228" t="s">
        <v>427</v>
      </c>
      <c r="D52" s="229" t="s">
        <v>332</v>
      </c>
      <c r="E52" s="230" t="s">
        <v>370</v>
      </c>
    </row>
    <row r="53" spans="2:5" s="226" customFormat="1" x14ac:dyDescent="0.25">
      <c r="B53" s="227">
        <f t="shared" ca="1" si="0"/>
        <v>47</v>
      </c>
      <c r="C53" s="228" t="s">
        <v>14</v>
      </c>
      <c r="D53" s="229" t="s">
        <v>334</v>
      </c>
      <c r="E53" s="230" t="s">
        <v>371</v>
      </c>
    </row>
    <row r="54" spans="2:5" s="226" customFormat="1" x14ac:dyDescent="0.25">
      <c r="B54" s="227">
        <f t="shared" ca="1" si="0"/>
        <v>48</v>
      </c>
      <c r="C54" s="228" t="s">
        <v>59</v>
      </c>
      <c r="D54" s="229" t="s">
        <v>336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26</v>
      </c>
      <c r="D55" s="229" t="s">
        <v>335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257</v>
      </c>
      <c r="D56" s="229" t="s">
        <v>337</v>
      </c>
      <c r="E56" s="230" t="s">
        <v>370</v>
      </c>
    </row>
    <row r="57" spans="2:5" s="226" customFormat="1" x14ac:dyDescent="0.25">
      <c r="B57" s="227"/>
      <c r="C57" s="228"/>
      <c r="D57" s="229"/>
      <c r="E57" s="230"/>
    </row>
    <row r="58" spans="2:5" s="226" customFormat="1" x14ac:dyDescent="0.25">
      <c r="B58" s="227">
        <f t="shared" ca="1" si="0"/>
        <v>1</v>
      </c>
      <c r="C58" s="228" t="s">
        <v>451</v>
      </c>
      <c r="D58" s="229" t="s">
        <v>443</v>
      </c>
      <c r="E58" s="230" t="s">
        <v>370</v>
      </c>
    </row>
    <row r="59" spans="2:5" s="226" customFormat="1" x14ac:dyDescent="0.25">
      <c r="B59" s="227">
        <f t="shared" ca="1" si="0"/>
        <v>2</v>
      </c>
      <c r="C59" s="228" t="s">
        <v>64</v>
      </c>
      <c r="D59" s="229" t="s">
        <v>442</v>
      </c>
      <c r="E59" s="230" t="s">
        <v>370</v>
      </c>
    </row>
    <row r="60" spans="2:5" s="226" customFormat="1" x14ac:dyDescent="0.25">
      <c r="B60" s="227">
        <f t="shared" ca="1" si="0"/>
        <v>3</v>
      </c>
      <c r="C60" s="228" t="s">
        <v>248</v>
      </c>
      <c r="D60" s="229" t="s">
        <v>444</v>
      </c>
      <c r="E60" s="230" t="s">
        <v>86</v>
      </c>
    </row>
    <row r="61" spans="2:5" s="226" customFormat="1" x14ac:dyDescent="0.25">
      <c r="B61" s="227">
        <f t="shared" ca="1" si="0"/>
        <v>4</v>
      </c>
      <c r="C61" s="228" t="s">
        <v>58</v>
      </c>
      <c r="D61" s="229" t="s">
        <v>445</v>
      </c>
      <c r="E61" s="230" t="s">
        <v>370</v>
      </c>
    </row>
    <row r="62" spans="2:5" s="226" customFormat="1" x14ac:dyDescent="0.25">
      <c r="B62" s="227">
        <f t="shared" ca="1" si="0"/>
        <v>5</v>
      </c>
      <c r="C62" s="228" t="s">
        <v>52</v>
      </c>
      <c r="D62" s="229" t="s">
        <v>446</v>
      </c>
      <c r="E62" s="230" t="s">
        <v>371</v>
      </c>
    </row>
    <row r="63" spans="2:5" s="226" customFormat="1" x14ac:dyDescent="0.25">
      <c r="B63" s="227">
        <f t="shared" ca="1" si="0"/>
        <v>6</v>
      </c>
      <c r="C63" s="228" t="s">
        <v>54</v>
      </c>
      <c r="D63" s="229" t="s">
        <v>448</v>
      </c>
      <c r="E63" s="230" t="s">
        <v>370</v>
      </c>
    </row>
    <row r="64" spans="2:5" s="226" customFormat="1" x14ac:dyDescent="0.25">
      <c r="B64" s="227"/>
      <c r="C64" s="228"/>
      <c r="D64" s="229"/>
      <c r="E64" s="230"/>
    </row>
    <row r="65" spans="2:5" s="226" customFormat="1" x14ac:dyDescent="0.25">
      <c r="B65" s="227">
        <f t="shared" ref="B65" ca="1" si="1">OFFSET( B65, -1, 0 ) + 1</f>
        <v>1</v>
      </c>
      <c r="C65" s="228" t="s">
        <v>1</v>
      </c>
      <c r="D65" s="229" t="s">
        <v>282</v>
      </c>
      <c r="E65" s="230" t="s">
        <v>370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2"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40908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370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19</v>
      </c>
      <c r="D63" s="229" t="s">
        <v>443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64</v>
      </c>
      <c r="D64" s="229" t="s">
        <v>442</v>
      </c>
      <c r="E64" s="230" t="s">
        <v>370</v>
      </c>
    </row>
    <row r="65" spans="2:5" s="226" customFormat="1" x14ac:dyDescent="0.25">
      <c r="B65" s="227">
        <f t="shared" ca="1" si="0"/>
        <v>3</v>
      </c>
      <c r="C65" s="228" t="s">
        <v>248</v>
      </c>
      <c r="D65" s="229" t="s">
        <v>444</v>
      </c>
      <c r="E65" s="230" t="s">
        <v>86</v>
      </c>
    </row>
    <row r="66" spans="2:5" s="226" customFormat="1" x14ac:dyDescent="0.25">
      <c r="B66" s="227">
        <f t="shared" ca="1" si="0"/>
        <v>4</v>
      </c>
      <c r="C66" s="228" t="s">
        <v>58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52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54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rgb="FFFFFF00"/>
  </sheetPr>
  <dimension ref="A1:E70"/>
  <sheetViews>
    <sheetView showGridLines="0" zoomScale="70" zoomScaleNormal="70" workbookViewId="0">
      <pane xSplit="4" ySplit="5" topLeftCell="E6" activePane="bottomRight" state="frozen"/>
      <selection activeCell="E4" sqref="E4"/>
      <selection pane="topRight" activeCell="E4" sqref="E4"/>
      <selection pane="bottomLeft" activeCell="E4" sqref="E4"/>
      <selection pane="bottomRight" activeCell="E6" sqref="E6"/>
    </sheetView>
  </sheetViews>
  <sheetFormatPr defaultColWidth="9.109375" defaultRowHeight="13.8" x14ac:dyDescent="0.25"/>
  <cols>
    <col min="1" max="1" width="2.6640625" style="218" customWidth="1"/>
    <col min="2" max="2" width="4.6640625" style="218" customWidth="1"/>
    <col min="3" max="3" width="42.88671875" style="218" customWidth="1"/>
    <col min="4" max="4" width="9.6640625" style="217" customWidth="1"/>
    <col min="5" max="5" width="14" style="217" customWidth="1"/>
    <col min="6" max="16384" width="9.109375" style="218"/>
  </cols>
  <sheetData>
    <row r="1" spans="1:5" s="214" customFormat="1" ht="18" x14ac:dyDescent="0.25">
      <c r="A1" s="214" t="s">
        <v>432</v>
      </c>
      <c r="C1" s="215"/>
      <c r="D1" s="216"/>
      <c r="E1" s="217"/>
    </row>
    <row r="2" spans="1:5" s="214" customFormat="1" x14ac:dyDescent="0.25">
      <c r="C2" s="218"/>
      <c r="D2" s="216"/>
      <c r="E2" s="217"/>
    </row>
    <row r="3" spans="1:5" x14ac:dyDescent="0.25">
      <c r="E3" s="231">
        <v>40543</v>
      </c>
    </row>
    <row r="4" spans="1:5" x14ac:dyDescent="0.25">
      <c r="C4" s="214"/>
      <c r="D4" s="216"/>
    </row>
    <row r="5" spans="1:5" s="219" customFormat="1" ht="27.6" x14ac:dyDescent="0.25">
      <c r="C5" s="220" t="s">
        <v>0</v>
      </c>
      <c r="D5" s="221" t="s">
        <v>433</v>
      </c>
      <c r="E5" s="222" t="s">
        <v>434</v>
      </c>
    </row>
    <row r="6" spans="1:5" x14ac:dyDescent="0.25">
      <c r="C6" s="223"/>
      <c r="D6" s="224"/>
      <c r="E6" s="225"/>
    </row>
    <row r="7" spans="1:5" s="226" customFormat="1" x14ac:dyDescent="0.25">
      <c r="B7" s="227">
        <f t="shared" ref="B7:B68" ca="1" si="0">OFFSET( B7, -1, 0 ) + 1</f>
        <v>1</v>
      </c>
      <c r="C7" s="228" t="s">
        <v>15</v>
      </c>
      <c r="D7" s="229" t="s">
        <v>276</v>
      </c>
      <c r="E7" s="230" t="s">
        <v>370</v>
      </c>
    </row>
    <row r="8" spans="1:5" s="226" customFormat="1" x14ac:dyDescent="0.25">
      <c r="B8" s="227">
        <f t="shared" ca="1" si="0"/>
        <v>2</v>
      </c>
      <c r="C8" s="228" t="s">
        <v>17</v>
      </c>
      <c r="D8" s="229" t="s">
        <v>306</v>
      </c>
      <c r="E8" s="230" t="s">
        <v>370</v>
      </c>
    </row>
    <row r="9" spans="1:5" s="226" customFormat="1" x14ac:dyDescent="0.25">
      <c r="B9" s="227">
        <f t="shared" ca="1" si="0"/>
        <v>3</v>
      </c>
      <c r="C9" s="228" t="s">
        <v>9</v>
      </c>
      <c r="D9" s="229" t="s">
        <v>273</v>
      </c>
      <c r="E9" s="230" t="s">
        <v>370</v>
      </c>
    </row>
    <row r="10" spans="1:5" s="226" customFormat="1" x14ac:dyDescent="0.25">
      <c r="B10" s="227">
        <f t="shared" ca="1" si="0"/>
        <v>4</v>
      </c>
      <c r="C10" s="228" t="s">
        <v>258</v>
      </c>
      <c r="D10" s="229" t="s">
        <v>274</v>
      </c>
      <c r="E10" s="230" t="s">
        <v>370</v>
      </c>
    </row>
    <row r="11" spans="1:5" s="226" customFormat="1" x14ac:dyDescent="0.25">
      <c r="B11" s="227">
        <f t="shared" ca="1" si="0"/>
        <v>5</v>
      </c>
      <c r="C11" s="228" t="s">
        <v>55</v>
      </c>
      <c r="D11" s="229" t="s">
        <v>277</v>
      </c>
      <c r="E11" s="230" t="s">
        <v>370</v>
      </c>
    </row>
    <row r="12" spans="1:5" s="226" customFormat="1" x14ac:dyDescent="0.25">
      <c r="B12" s="227">
        <f t="shared" ca="1" si="0"/>
        <v>6</v>
      </c>
      <c r="C12" s="228" t="s">
        <v>48</v>
      </c>
      <c r="D12" s="229" t="s">
        <v>279</v>
      </c>
      <c r="E12" s="230" t="s">
        <v>371</v>
      </c>
    </row>
    <row r="13" spans="1:5" s="226" customFormat="1" x14ac:dyDescent="0.25">
      <c r="B13" s="227">
        <f t="shared" ca="1" si="0"/>
        <v>7</v>
      </c>
      <c r="C13" s="228" t="s">
        <v>29</v>
      </c>
      <c r="D13" s="229" t="s">
        <v>285</v>
      </c>
      <c r="E13" s="230" t="s">
        <v>371</v>
      </c>
    </row>
    <row r="14" spans="1:5" s="226" customFormat="1" x14ac:dyDescent="0.25">
      <c r="B14" s="227">
        <f t="shared" ca="1" si="0"/>
        <v>8</v>
      </c>
      <c r="C14" s="228" t="s">
        <v>50</v>
      </c>
      <c r="D14" s="229" t="s">
        <v>286</v>
      </c>
      <c r="E14" s="230" t="s">
        <v>370</v>
      </c>
    </row>
    <row r="15" spans="1:5" s="226" customFormat="1" x14ac:dyDescent="0.25">
      <c r="B15" s="227">
        <f t="shared" ca="1" si="0"/>
        <v>9</v>
      </c>
      <c r="C15" s="228" t="s">
        <v>1</v>
      </c>
      <c r="D15" s="229" t="s">
        <v>282</v>
      </c>
      <c r="E15" s="230" t="s">
        <v>370</v>
      </c>
    </row>
    <row r="16" spans="1:5" s="226" customFormat="1" x14ac:dyDescent="0.25">
      <c r="B16" s="227">
        <f t="shared" ca="1" si="0"/>
        <v>10</v>
      </c>
      <c r="C16" s="228" t="s">
        <v>30</v>
      </c>
      <c r="D16" s="229" t="s">
        <v>284</v>
      </c>
      <c r="E16" s="230" t="s">
        <v>370</v>
      </c>
    </row>
    <row r="17" spans="2:5" s="226" customFormat="1" x14ac:dyDescent="0.25">
      <c r="B17" s="227">
        <f t="shared" ca="1" si="0"/>
        <v>11</v>
      </c>
      <c r="C17" s="228" t="s">
        <v>60</v>
      </c>
      <c r="D17" s="229" t="s">
        <v>283</v>
      </c>
      <c r="E17" s="230" t="s">
        <v>370</v>
      </c>
    </row>
    <row r="18" spans="2:5" s="226" customFormat="1" x14ac:dyDescent="0.25">
      <c r="B18" s="227">
        <f t="shared" ca="1" si="0"/>
        <v>12</v>
      </c>
      <c r="C18" s="228" t="s">
        <v>3</v>
      </c>
      <c r="D18" s="229" t="s">
        <v>291</v>
      </c>
      <c r="E18" s="230" t="s">
        <v>370</v>
      </c>
    </row>
    <row r="19" spans="2:5" s="226" customFormat="1" x14ac:dyDescent="0.25">
      <c r="B19" s="227">
        <f t="shared" ca="1" si="0"/>
        <v>13</v>
      </c>
      <c r="C19" s="228" t="s">
        <v>259</v>
      </c>
      <c r="D19" s="229" t="s">
        <v>281</v>
      </c>
      <c r="E19" s="230" t="s">
        <v>86</v>
      </c>
    </row>
    <row r="20" spans="2:5" s="226" customFormat="1" x14ac:dyDescent="0.25">
      <c r="B20" s="227">
        <f t="shared" ca="1" si="0"/>
        <v>14</v>
      </c>
      <c r="C20" s="228" t="s">
        <v>18</v>
      </c>
      <c r="D20" s="229" t="s">
        <v>86</v>
      </c>
      <c r="E20" s="230" t="s">
        <v>371</v>
      </c>
    </row>
    <row r="21" spans="2:5" s="226" customFormat="1" x14ac:dyDescent="0.25">
      <c r="B21" s="227">
        <f t="shared" ca="1" si="0"/>
        <v>15</v>
      </c>
      <c r="C21" s="228" t="s">
        <v>31</v>
      </c>
      <c r="D21" s="229" t="s">
        <v>288</v>
      </c>
      <c r="E21" s="230" t="s">
        <v>370</v>
      </c>
    </row>
    <row r="22" spans="2:5" s="226" customFormat="1" x14ac:dyDescent="0.25">
      <c r="B22" s="227">
        <f t="shared" ca="1" si="0"/>
        <v>16</v>
      </c>
      <c r="C22" s="228" t="s">
        <v>32</v>
      </c>
      <c r="D22" s="229" t="s">
        <v>289</v>
      </c>
      <c r="E22" s="230" t="s">
        <v>371</v>
      </c>
    </row>
    <row r="23" spans="2:5" s="226" customFormat="1" x14ac:dyDescent="0.25">
      <c r="B23" s="227">
        <f t="shared" ca="1" si="0"/>
        <v>17</v>
      </c>
      <c r="C23" s="228" t="s">
        <v>57</v>
      </c>
      <c r="D23" s="229" t="s">
        <v>295</v>
      </c>
      <c r="E23" s="230" t="s">
        <v>371</v>
      </c>
    </row>
    <row r="24" spans="2:5" s="226" customFormat="1" x14ac:dyDescent="0.25">
      <c r="B24" s="227">
        <f t="shared" ca="1" si="0"/>
        <v>18</v>
      </c>
      <c r="C24" s="228" t="s">
        <v>34</v>
      </c>
      <c r="D24" s="229" t="s">
        <v>293</v>
      </c>
      <c r="E24" s="230" t="s">
        <v>370</v>
      </c>
    </row>
    <row r="25" spans="2:5" s="226" customFormat="1" x14ac:dyDescent="0.25">
      <c r="B25" s="227">
        <f t="shared" ca="1" si="0"/>
        <v>19</v>
      </c>
      <c r="C25" s="228" t="s">
        <v>35</v>
      </c>
      <c r="D25" s="229" t="s">
        <v>292</v>
      </c>
      <c r="E25" s="230" t="s">
        <v>370</v>
      </c>
    </row>
    <row r="26" spans="2:5" s="226" customFormat="1" x14ac:dyDescent="0.25">
      <c r="B26" s="227">
        <f t="shared" ca="1" si="0"/>
        <v>20</v>
      </c>
      <c r="C26" s="228" t="s">
        <v>36</v>
      </c>
      <c r="D26" s="229" t="s">
        <v>296</v>
      </c>
      <c r="E26" s="230" t="s">
        <v>370</v>
      </c>
    </row>
    <row r="27" spans="2:5" s="226" customFormat="1" x14ac:dyDescent="0.25">
      <c r="B27" s="227">
        <f t="shared" ca="1" si="0"/>
        <v>21</v>
      </c>
      <c r="C27" s="228" t="s">
        <v>11</v>
      </c>
      <c r="D27" s="229" t="s">
        <v>297</v>
      </c>
      <c r="E27" s="230" t="s">
        <v>371</v>
      </c>
    </row>
    <row r="28" spans="2:5" s="226" customFormat="1" x14ac:dyDescent="0.25">
      <c r="B28" s="227">
        <f t="shared" ca="1" si="0"/>
        <v>22</v>
      </c>
      <c r="C28" s="228" t="s">
        <v>51</v>
      </c>
      <c r="D28" s="229" t="s">
        <v>298</v>
      </c>
      <c r="E28" s="230" t="s">
        <v>371</v>
      </c>
    </row>
    <row r="29" spans="2:5" s="226" customFormat="1" x14ac:dyDescent="0.25">
      <c r="B29" s="227">
        <f t="shared" ca="1" si="0"/>
        <v>23</v>
      </c>
      <c r="C29" s="228" t="s">
        <v>260</v>
      </c>
      <c r="D29" s="229" t="s">
        <v>300</v>
      </c>
      <c r="E29" s="230" t="s">
        <v>370</v>
      </c>
    </row>
    <row r="30" spans="2:5" s="226" customFormat="1" x14ac:dyDescent="0.25">
      <c r="B30" s="227">
        <f t="shared" ca="1" si="0"/>
        <v>24</v>
      </c>
      <c r="C30" s="228" t="s">
        <v>39</v>
      </c>
      <c r="D30" s="229" t="s">
        <v>301</v>
      </c>
      <c r="E30" s="230" t="s">
        <v>86</v>
      </c>
    </row>
    <row r="31" spans="2:5" s="226" customFormat="1" x14ac:dyDescent="0.25">
      <c r="B31" s="227">
        <f t="shared" ca="1" si="0"/>
        <v>25</v>
      </c>
      <c r="C31" s="228" t="s">
        <v>20</v>
      </c>
      <c r="D31" s="229" t="s">
        <v>302</v>
      </c>
      <c r="E31" s="230" t="s">
        <v>370</v>
      </c>
    </row>
    <row r="32" spans="2:5" s="226" customFormat="1" x14ac:dyDescent="0.25">
      <c r="B32" s="227">
        <f t="shared" ca="1" si="0"/>
        <v>26</v>
      </c>
      <c r="C32" s="228" t="s">
        <v>253</v>
      </c>
      <c r="D32" s="229" t="s">
        <v>330</v>
      </c>
      <c r="E32" s="230" t="s">
        <v>370</v>
      </c>
    </row>
    <row r="33" spans="2:5" s="226" customFormat="1" x14ac:dyDescent="0.25">
      <c r="B33" s="227">
        <f t="shared" ca="1" si="0"/>
        <v>27</v>
      </c>
      <c r="C33" s="228" t="s">
        <v>12</v>
      </c>
      <c r="D33" s="229" t="s">
        <v>308</v>
      </c>
      <c r="E33" s="230" t="s">
        <v>86</v>
      </c>
    </row>
    <row r="34" spans="2:5" s="226" customFormat="1" x14ac:dyDescent="0.25">
      <c r="B34" s="227">
        <f t="shared" ca="1" si="0"/>
        <v>28</v>
      </c>
      <c r="C34" s="228" t="s">
        <v>74</v>
      </c>
      <c r="D34" s="229" t="s">
        <v>309</v>
      </c>
      <c r="E34" s="230" t="s">
        <v>371</v>
      </c>
    </row>
    <row r="35" spans="2:5" s="226" customFormat="1" x14ac:dyDescent="0.25">
      <c r="B35" s="227">
        <f t="shared" ca="1" si="0"/>
        <v>29</v>
      </c>
      <c r="C35" s="228" t="s">
        <v>369</v>
      </c>
      <c r="D35" s="229" t="s">
        <v>368</v>
      </c>
      <c r="E35" s="230" t="s">
        <v>371</v>
      </c>
    </row>
    <row r="36" spans="2:5" s="226" customFormat="1" x14ac:dyDescent="0.25">
      <c r="B36" s="227">
        <f t="shared" ca="1" si="0"/>
        <v>30</v>
      </c>
      <c r="C36" s="228" t="s">
        <v>40</v>
      </c>
      <c r="D36" s="229" t="s">
        <v>310</v>
      </c>
      <c r="E36" s="230" t="s">
        <v>371</v>
      </c>
    </row>
    <row r="37" spans="2:5" s="226" customFormat="1" x14ac:dyDescent="0.25">
      <c r="B37" s="227">
        <f t="shared" ca="1" si="0"/>
        <v>31</v>
      </c>
      <c r="C37" s="228" t="s">
        <v>512</v>
      </c>
      <c r="D37" s="229" t="s">
        <v>511</v>
      </c>
      <c r="E37" s="230" t="s">
        <v>370</v>
      </c>
    </row>
    <row r="38" spans="2:5" s="226" customFormat="1" x14ac:dyDescent="0.25">
      <c r="B38" s="227">
        <f t="shared" ca="1" si="0"/>
        <v>32</v>
      </c>
      <c r="C38" s="228" t="s">
        <v>66</v>
      </c>
      <c r="D38" s="229" t="s">
        <v>314</v>
      </c>
      <c r="E38" s="230" t="s">
        <v>370</v>
      </c>
    </row>
    <row r="39" spans="2:5" s="226" customFormat="1" x14ac:dyDescent="0.25">
      <c r="B39" s="227">
        <f t="shared" ca="1" si="0"/>
        <v>33</v>
      </c>
      <c r="C39" s="228" t="s">
        <v>6</v>
      </c>
      <c r="D39" s="229" t="s">
        <v>312</v>
      </c>
      <c r="E39" s="230" t="s">
        <v>370</v>
      </c>
    </row>
    <row r="40" spans="2:5" s="226" customFormat="1" x14ac:dyDescent="0.25">
      <c r="B40" s="227">
        <f t="shared" ca="1" si="0"/>
        <v>34</v>
      </c>
      <c r="C40" s="228" t="s">
        <v>265</v>
      </c>
      <c r="D40" s="229" t="s">
        <v>313</v>
      </c>
      <c r="E40" s="230" t="s">
        <v>370</v>
      </c>
    </row>
    <row r="41" spans="2:5" s="226" customFormat="1" x14ac:dyDescent="0.25">
      <c r="B41" s="227">
        <f t="shared" ca="1" si="0"/>
        <v>35</v>
      </c>
      <c r="C41" s="228" t="s">
        <v>21</v>
      </c>
      <c r="D41" s="229" t="s">
        <v>315</v>
      </c>
      <c r="E41" s="230" t="s">
        <v>371</v>
      </c>
    </row>
    <row r="42" spans="2:5" s="226" customFormat="1" x14ac:dyDescent="0.25">
      <c r="B42" s="227">
        <f t="shared" ca="1" si="0"/>
        <v>36</v>
      </c>
      <c r="C42" s="228" t="s">
        <v>22</v>
      </c>
      <c r="D42" s="229" t="s">
        <v>316</v>
      </c>
      <c r="E42" s="230" t="s">
        <v>371</v>
      </c>
    </row>
    <row r="43" spans="2:5" s="226" customFormat="1" x14ac:dyDescent="0.25">
      <c r="B43" s="227">
        <f t="shared" ca="1" si="0"/>
        <v>37</v>
      </c>
      <c r="C43" s="228" t="s">
        <v>23</v>
      </c>
      <c r="D43" s="229" t="s">
        <v>322</v>
      </c>
      <c r="E43" s="230" t="s">
        <v>371</v>
      </c>
    </row>
    <row r="44" spans="2:5" s="226" customFormat="1" x14ac:dyDescent="0.25">
      <c r="B44" s="227">
        <f t="shared" ca="1" si="0"/>
        <v>38</v>
      </c>
      <c r="C44" s="228" t="s">
        <v>53</v>
      </c>
      <c r="D44" s="229" t="s">
        <v>317</v>
      </c>
      <c r="E44" s="230" t="s">
        <v>370</v>
      </c>
    </row>
    <row r="45" spans="2:5" s="226" customFormat="1" x14ac:dyDescent="0.25">
      <c r="B45" s="227">
        <f t="shared" ca="1" si="0"/>
        <v>39</v>
      </c>
      <c r="C45" s="228" t="s">
        <v>41</v>
      </c>
      <c r="D45" s="229" t="s">
        <v>321</v>
      </c>
      <c r="E45" s="230" t="s">
        <v>370</v>
      </c>
    </row>
    <row r="46" spans="2:5" s="226" customFormat="1" x14ac:dyDescent="0.25">
      <c r="B46" s="227">
        <f t="shared" ca="1" si="0"/>
        <v>40</v>
      </c>
      <c r="C46" s="228" t="s">
        <v>42</v>
      </c>
      <c r="D46" s="229" t="s">
        <v>320</v>
      </c>
      <c r="E46" s="230" t="s">
        <v>370</v>
      </c>
    </row>
    <row r="47" spans="2:5" s="226" customFormat="1" x14ac:dyDescent="0.25">
      <c r="B47" s="227">
        <f t="shared" ca="1" si="0"/>
        <v>41</v>
      </c>
      <c r="C47" s="228" t="s">
        <v>24</v>
      </c>
      <c r="D47" s="229" t="s">
        <v>323</v>
      </c>
      <c r="E47" s="230" t="s">
        <v>370</v>
      </c>
    </row>
    <row r="48" spans="2:5" s="226" customFormat="1" x14ac:dyDescent="0.25">
      <c r="B48" s="227">
        <f t="shared" ca="1" si="0"/>
        <v>42</v>
      </c>
      <c r="C48" s="228" t="s">
        <v>43</v>
      </c>
      <c r="D48" s="229" t="s">
        <v>324</v>
      </c>
      <c r="E48" s="230" t="s">
        <v>371</v>
      </c>
    </row>
    <row r="49" spans="2:5" s="226" customFormat="1" x14ac:dyDescent="0.25">
      <c r="B49" s="227">
        <f t="shared" ca="1" si="0"/>
        <v>43</v>
      </c>
      <c r="C49" s="228" t="s">
        <v>256</v>
      </c>
      <c r="D49" s="229" t="s">
        <v>319</v>
      </c>
      <c r="E49" s="230" t="s">
        <v>370</v>
      </c>
    </row>
    <row r="50" spans="2:5" s="226" customFormat="1" x14ac:dyDescent="0.25">
      <c r="B50" s="227">
        <f t="shared" ca="1" si="0"/>
        <v>44</v>
      </c>
      <c r="C50" s="228" t="s">
        <v>45</v>
      </c>
      <c r="D50" s="229" t="s">
        <v>318</v>
      </c>
      <c r="E50" s="230" t="s">
        <v>371</v>
      </c>
    </row>
    <row r="51" spans="2:5" s="226" customFormat="1" x14ac:dyDescent="0.25">
      <c r="B51" s="227">
        <f t="shared" ca="1" si="0"/>
        <v>45</v>
      </c>
      <c r="C51" s="228" t="s">
        <v>13</v>
      </c>
      <c r="D51" s="229" t="s">
        <v>326</v>
      </c>
      <c r="E51" s="230" t="s">
        <v>371</v>
      </c>
    </row>
    <row r="52" spans="2:5" s="226" customFormat="1" x14ac:dyDescent="0.25">
      <c r="B52" s="227">
        <f t="shared" ca="1" si="0"/>
        <v>46</v>
      </c>
      <c r="C52" s="228" t="s">
        <v>25</v>
      </c>
      <c r="D52" s="229" t="s">
        <v>328</v>
      </c>
      <c r="E52" s="230" t="s">
        <v>371</v>
      </c>
    </row>
    <row r="53" spans="2:5" s="226" customFormat="1" x14ac:dyDescent="0.25">
      <c r="B53" s="227">
        <f t="shared" ca="1" si="0"/>
        <v>47</v>
      </c>
      <c r="C53" s="228" t="s">
        <v>7</v>
      </c>
      <c r="D53" s="229" t="s">
        <v>327</v>
      </c>
      <c r="E53" s="230" t="s">
        <v>370</v>
      </c>
    </row>
    <row r="54" spans="2:5" s="226" customFormat="1" x14ac:dyDescent="0.25">
      <c r="B54" s="227">
        <f t="shared" ca="1" si="0"/>
        <v>48</v>
      </c>
      <c r="C54" s="228" t="s">
        <v>62</v>
      </c>
      <c r="D54" s="229" t="s">
        <v>329</v>
      </c>
      <c r="E54" s="230" t="s">
        <v>370</v>
      </c>
    </row>
    <row r="55" spans="2:5" s="226" customFormat="1" x14ac:dyDescent="0.25">
      <c r="B55" s="227">
        <f t="shared" ca="1" si="0"/>
        <v>49</v>
      </c>
      <c r="C55" s="228" t="s">
        <v>75</v>
      </c>
      <c r="D55" s="229" t="s">
        <v>331</v>
      </c>
      <c r="E55" s="230" t="s">
        <v>370</v>
      </c>
    </row>
    <row r="56" spans="2:5" s="226" customFormat="1" x14ac:dyDescent="0.25">
      <c r="B56" s="227">
        <f t="shared" ca="1" si="0"/>
        <v>50</v>
      </c>
      <c r="C56" s="228" t="s">
        <v>76</v>
      </c>
      <c r="D56" s="229" t="s">
        <v>333</v>
      </c>
      <c r="E56" s="230" t="s">
        <v>370</v>
      </c>
    </row>
    <row r="57" spans="2:5" s="226" customFormat="1" x14ac:dyDescent="0.25">
      <c r="B57" s="227">
        <f t="shared" ca="1" si="0"/>
        <v>51</v>
      </c>
      <c r="C57" s="228" t="s">
        <v>427</v>
      </c>
      <c r="D57" s="229" t="s">
        <v>332</v>
      </c>
      <c r="E57" s="230" t="s">
        <v>370</v>
      </c>
    </row>
    <row r="58" spans="2:5" s="226" customFormat="1" x14ac:dyDescent="0.25">
      <c r="B58" s="227">
        <f t="shared" ca="1" si="0"/>
        <v>52</v>
      </c>
      <c r="C58" s="228" t="s">
        <v>14</v>
      </c>
      <c r="D58" s="229" t="s">
        <v>334</v>
      </c>
      <c r="E58" s="230" t="s">
        <v>370</v>
      </c>
    </row>
    <row r="59" spans="2:5" s="226" customFormat="1" x14ac:dyDescent="0.25">
      <c r="B59" s="227">
        <f t="shared" ca="1" si="0"/>
        <v>53</v>
      </c>
      <c r="C59" s="228" t="s">
        <v>59</v>
      </c>
      <c r="D59" s="229" t="s">
        <v>336</v>
      </c>
      <c r="E59" s="230" t="s">
        <v>370</v>
      </c>
    </row>
    <row r="60" spans="2:5" s="226" customFormat="1" x14ac:dyDescent="0.25">
      <c r="B60" s="227">
        <f t="shared" ca="1" si="0"/>
        <v>54</v>
      </c>
      <c r="C60" s="228" t="s">
        <v>26</v>
      </c>
      <c r="D60" s="229" t="s">
        <v>335</v>
      </c>
      <c r="E60" s="230" t="s">
        <v>370</v>
      </c>
    </row>
    <row r="61" spans="2:5" s="226" customFormat="1" x14ac:dyDescent="0.25">
      <c r="B61" s="227">
        <f t="shared" ca="1" si="0"/>
        <v>55</v>
      </c>
      <c r="C61" s="228" t="s">
        <v>257</v>
      </c>
      <c r="D61" s="229" t="s">
        <v>337</v>
      </c>
      <c r="E61" s="230" t="s">
        <v>370</v>
      </c>
    </row>
    <row r="62" spans="2:5" s="226" customFormat="1" x14ac:dyDescent="0.25">
      <c r="B62" s="227"/>
      <c r="C62" s="228"/>
      <c r="D62" s="229"/>
      <c r="E62" s="230"/>
    </row>
    <row r="63" spans="2:5" s="226" customFormat="1" x14ac:dyDescent="0.25">
      <c r="B63" s="227">
        <f t="shared" ca="1" si="0"/>
        <v>1</v>
      </c>
      <c r="C63" s="228" t="s">
        <v>483</v>
      </c>
      <c r="D63" s="229" t="s">
        <v>442</v>
      </c>
      <c r="E63" s="230" t="s">
        <v>370</v>
      </c>
    </row>
    <row r="64" spans="2:5" s="226" customFormat="1" x14ac:dyDescent="0.25">
      <c r="B64" s="227">
        <f t="shared" ca="1" si="0"/>
        <v>2</v>
      </c>
      <c r="C64" s="228" t="s">
        <v>482</v>
      </c>
      <c r="D64" s="229" t="s">
        <v>444</v>
      </c>
      <c r="E64" s="230" t="s">
        <v>86</v>
      </c>
    </row>
    <row r="65" spans="2:5" s="226" customFormat="1" x14ac:dyDescent="0.25">
      <c r="B65" s="227">
        <f t="shared" ca="1" si="0"/>
        <v>3</v>
      </c>
      <c r="C65" s="226" t="s">
        <v>485</v>
      </c>
      <c r="D65" s="226" t="s">
        <v>443</v>
      </c>
      <c r="E65" s="230" t="s">
        <v>370</v>
      </c>
    </row>
    <row r="66" spans="2:5" s="226" customFormat="1" x14ac:dyDescent="0.25">
      <c r="B66" s="227">
        <f t="shared" ca="1" si="0"/>
        <v>4</v>
      </c>
      <c r="C66" s="228" t="s">
        <v>481</v>
      </c>
      <c r="D66" s="229" t="s">
        <v>445</v>
      </c>
      <c r="E66" s="230" t="s">
        <v>370</v>
      </c>
    </row>
    <row r="67" spans="2:5" s="226" customFormat="1" x14ac:dyDescent="0.25">
      <c r="B67" s="227">
        <f t="shared" ca="1" si="0"/>
        <v>5</v>
      </c>
      <c r="C67" s="228" t="s">
        <v>480</v>
      </c>
      <c r="D67" s="229" t="s">
        <v>446</v>
      </c>
      <c r="E67" s="230" t="s">
        <v>371</v>
      </c>
    </row>
    <row r="68" spans="2:5" s="226" customFormat="1" x14ac:dyDescent="0.25">
      <c r="B68" s="227">
        <f t="shared" ca="1" si="0"/>
        <v>6</v>
      </c>
      <c r="C68" s="228" t="s">
        <v>484</v>
      </c>
      <c r="D68" s="229" t="s">
        <v>448</v>
      </c>
      <c r="E68" s="230" t="s">
        <v>370</v>
      </c>
    </row>
    <row r="69" spans="2:5" s="226" customFormat="1" x14ac:dyDescent="0.25">
      <c r="B69" s="227"/>
      <c r="C69" s="228"/>
      <c r="D69" s="229"/>
      <c r="E69" s="230"/>
    </row>
    <row r="70" spans="2:5" s="226" customFormat="1" x14ac:dyDescent="0.25">
      <c r="B70" s="227"/>
      <c r="C70" s="228"/>
      <c r="D70" s="229"/>
      <c r="E70" s="230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92D050"/>
  </sheetPr>
  <dimension ref="C3:N30"/>
  <sheetViews>
    <sheetView zoomScale="85" zoomScaleNormal="85" workbookViewId="0"/>
  </sheetViews>
  <sheetFormatPr defaultColWidth="9.109375" defaultRowHeight="13.2" x14ac:dyDescent="0.25"/>
  <cols>
    <col min="1" max="2" width="9.109375" style="324"/>
    <col min="3" max="3" width="5.88671875" style="326" customWidth="1"/>
    <col min="4" max="4" width="9.109375" style="326"/>
    <col min="5" max="5" width="25.44140625" style="326" customWidth="1"/>
    <col min="6" max="6" width="9.109375" style="324"/>
    <col min="7" max="8" width="5.88671875" style="326" customWidth="1"/>
    <col min="9" max="9" width="9.109375" style="326"/>
    <col min="10" max="10" width="25.44140625" style="326" customWidth="1"/>
    <col min="11" max="11" width="9.109375" style="324"/>
    <col min="12" max="12" width="5.88671875" style="326" customWidth="1"/>
    <col min="13" max="13" width="9.109375" style="326"/>
    <col min="14" max="14" width="25.44140625" style="324" customWidth="1"/>
    <col min="15" max="16384" width="9.109375" style="324"/>
  </cols>
  <sheetData>
    <row r="3" spans="3:14" x14ac:dyDescent="0.25">
      <c r="C3" s="508" t="s">
        <v>453</v>
      </c>
      <c r="D3" s="509"/>
      <c r="E3" s="509"/>
      <c r="G3" s="508" t="s">
        <v>90</v>
      </c>
      <c r="H3" s="509"/>
      <c r="I3" s="509"/>
      <c r="J3" s="509"/>
      <c r="L3" s="508" t="s">
        <v>89</v>
      </c>
      <c r="M3" s="509"/>
      <c r="N3" s="509"/>
    </row>
    <row r="5" spans="3:14" x14ac:dyDescent="0.25">
      <c r="C5" s="334"/>
      <c r="G5" s="334"/>
      <c r="H5" s="335">
        <v>1</v>
      </c>
      <c r="I5" s="327" t="s">
        <v>370</v>
      </c>
      <c r="J5" s="336" t="s">
        <v>455</v>
      </c>
      <c r="L5" s="335">
        <v>1</v>
      </c>
      <c r="M5" s="327" t="s">
        <v>457</v>
      </c>
      <c r="N5" s="336" t="s">
        <v>456</v>
      </c>
    </row>
    <row r="6" spans="3:14" x14ac:dyDescent="0.25">
      <c r="C6" s="335"/>
      <c r="G6" s="335"/>
      <c r="H6" s="335">
        <v>2</v>
      </c>
      <c r="I6" s="330" t="s">
        <v>422</v>
      </c>
      <c r="J6" s="331"/>
      <c r="L6" s="335">
        <v>2</v>
      </c>
      <c r="M6" s="330" t="s">
        <v>86</v>
      </c>
    </row>
    <row r="7" spans="3:14" x14ac:dyDescent="0.25">
      <c r="C7" s="335"/>
      <c r="G7" s="335"/>
      <c r="H7" s="335">
        <v>3</v>
      </c>
      <c r="I7" s="330" t="s">
        <v>86</v>
      </c>
      <c r="J7" s="331"/>
      <c r="L7" s="335">
        <v>3</v>
      </c>
      <c r="M7" s="330" t="s">
        <v>460</v>
      </c>
    </row>
    <row r="8" spans="3:14" x14ac:dyDescent="0.25">
      <c r="C8" s="335"/>
      <c r="G8" s="335"/>
      <c r="H8" s="335">
        <v>4</v>
      </c>
      <c r="I8" s="333" t="s">
        <v>458</v>
      </c>
      <c r="J8" s="328"/>
      <c r="L8" s="335">
        <v>4</v>
      </c>
      <c r="M8" s="330" t="s">
        <v>462</v>
      </c>
    </row>
    <row r="9" spans="3:14" x14ac:dyDescent="0.25">
      <c r="C9" s="335">
        <v>1</v>
      </c>
      <c r="D9" s="325" t="s">
        <v>130</v>
      </c>
      <c r="E9" s="336" t="s">
        <v>454</v>
      </c>
      <c r="G9" s="335">
        <v>1</v>
      </c>
      <c r="H9" s="335">
        <v>5</v>
      </c>
      <c r="I9" s="330" t="s">
        <v>130</v>
      </c>
      <c r="J9" s="336" t="s">
        <v>459</v>
      </c>
      <c r="L9" s="335">
        <v>5</v>
      </c>
      <c r="M9" s="330" t="s">
        <v>129</v>
      </c>
    </row>
    <row r="10" spans="3:14" x14ac:dyDescent="0.25">
      <c r="C10" s="335">
        <v>2</v>
      </c>
      <c r="D10" s="329" t="s">
        <v>128</v>
      </c>
      <c r="G10" s="335">
        <v>2</v>
      </c>
      <c r="H10" s="335">
        <v>6</v>
      </c>
      <c r="I10" s="330" t="s">
        <v>461</v>
      </c>
      <c r="J10" s="331"/>
      <c r="L10" s="335">
        <v>6</v>
      </c>
      <c r="M10" s="330" t="s">
        <v>127</v>
      </c>
    </row>
    <row r="11" spans="3:14" x14ac:dyDescent="0.25">
      <c r="C11" s="335">
        <v>3</v>
      </c>
      <c r="D11" s="329" t="s">
        <v>126</v>
      </c>
      <c r="G11" s="335">
        <v>3</v>
      </c>
      <c r="H11" s="335">
        <v>7</v>
      </c>
      <c r="I11" s="330" t="s">
        <v>129</v>
      </c>
      <c r="J11" s="331"/>
      <c r="L11" s="335">
        <v>7</v>
      </c>
      <c r="M11" s="330" t="s">
        <v>125</v>
      </c>
    </row>
    <row r="12" spans="3:14" x14ac:dyDescent="0.25">
      <c r="C12" s="335">
        <v>4</v>
      </c>
      <c r="D12" s="329" t="s">
        <v>124</v>
      </c>
      <c r="G12" s="335">
        <v>4</v>
      </c>
      <c r="H12" s="335">
        <v>8</v>
      </c>
      <c r="I12" s="330" t="s">
        <v>127</v>
      </c>
      <c r="J12" s="331"/>
      <c r="L12" s="335">
        <v>8</v>
      </c>
      <c r="M12" s="330" t="s">
        <v>123</v>
      </c>
    </row>
    <row r="13" spans="3:14" x14ac:dyDescent="0.25">
      <c r="C13" s="335">
        <v>5</v>
      </c>
      <c r="D13" s="329" t="s">
        <v>122</v>
      </c>
      <c r="G13" s="335">
        <v>5</v>
      </c>
      <c r="H13" s="335">
        <v>9</v>
      </c>
      <c r="I13" s="330" t="s">
        <v>125</v>
      </c>
      <c r="J13" s="331"/>
      <c r="L13" s="335">
        <v>9</v>
      </c>
      <c r="M13" s="330" t="s">
        <v>71</v>
      </c>
    </row>
    <row r="14" spans="3:14" x14ac:dyDescent="0.25">
      <c r="C14" s="335">
        <v>6</v>
      </c>
      <c r="D14" s="329" t="s">
        <v>121</v>
      </c>
      <c r="G14" s="335">
        <v>6</v>
      </c>
      <c r="H14" s="335">
        <v>10</v>
      </c>
      <c r="I14" s="330" t="s">
        <v>123</v>
      </c>
      <c r="J14" s="331"/>
      <c r="L14" s="335">
        <v>10</v>
      </c>
      <c r="M14" s="330" t="s">
        <v>78</v>
      </c>
    </row>
    <row r="15" spans="3:14" x14ac:dyDescent="0.25">
      <c r="C15" s="335">
        <v>7</v>
      </c>
      <c r="D15" s="329" t="s">
        <v>120</v>
      </c>
      <c r="G15" s="335">
        <v>7</v>
      </c>
      <c r="H15" s="335">
        <v>11</v>
      </c>
      <c r="I15" s="330" t="s">
        <v>71</v>
      </c>
      <c r="J15" s="331"/>
      <c r="L15" s="335">
        <v>11</v>
      </c>
      <c r="M15" s="330" t="s">
        <v>68</v>
      </c>
    </row>
    <row r="16" spans="3:14" x14ac:dyDescent="0.25">
      <c r="C16" s="335">
        <v>8</v>
      </c>
      <c r="D16" s="329" t="s">
        <v>119</v>
      </c>
      <c r="G16" s="335">
        <v>8</v>
      </c>
      <c r="H16" s="335">
        <v>12</v>
      </c>
      <c r="I16" s="330" t="s">
        <v>78</v>
      </c>
      <c r="J16" s="331"/>
      <c r="L16" s="335">
        <v>12</v>
      </c>
      <c r="M16" s="330" t="s">
        <v>65</v>
      </c>
    </row>
    <row r="17" spans="3:13" x14ac:dyDescent="0.25">
      <c r="C17" s="335">
        <v>9</v>
      </c>
      <c r="D17" s="329" t="s">
        <v>118</v>
      </c>
      <c r="G17" s="335">
        <v>9</v>
      </c>
      <c r="H17" s="335">
        <v>13</v>
      </c>
      <c r="I17" s="330" t="s">
        <v>68</v>
      </c>
      <c r="J17" s="331"/>
      <c r="L17" s="335">
        <v>13</v>
      </c>
      <c r="M17" s="330" t="s">
        <v>61</v>
      </c>
    </row>
    <row r="18" spans="3:13" x14ac:dyDescent="0.25">
      <c r="C18" s="335">
        <v>10</v>
      </c>
      <c r="D18" s="329" t="s">
        <v>117</v>
      </c>
      <c r="G18" s="335">
        <v>10</v>
      </c>
      <c r="H18" s="335">
        <v>14</v>
      </c>
      <c r="I18" s="330" t="s">
        <v>65</v>
      </c>
      <c r="J18" s="331"/>
      <c r="L18" s="335">
        <v>14</v>
      </c>
      <c r="M18" s="330" t="s">
        <v>56</v>
      </c>
    </row>
    <row r="19" spans="3:13" x14ac:dyDescent="0.25">
      <c r="C19" s="335">
        <v>11</v>
      </c>
      <c r="D19" s="329" t="s">
        <v>116</v>
      </c>
      <c r="G19" s="335">
        <v>11</v>
      </c>
      <c r="H19" s="335">
        <v>15</v>
      </c>
      <c r="I19" s="330" t="s">
        <v>61</v>
      </c>
      <c r="J19" s="331"/>
      <c r="L19" s="335">
        <v>15</v>
      </c>
      <c r="M19" s="330" t="s">
        <v>49</v>
      </c>
    </row>
    <row r="20" spans="3:13" x14ac:dyDescent="0.25">
      <c r="C20" s="335">
        <v>12</v>
      </c>
      <c r="D20" s="329" t="s">
        <v>115</v>
      </c>
      <c r="G20" s="335">
        <v>12</v>
      </c>
      <c r="H20" s="335">
        <v>16</v>
      </c>
      <c r="I20" s="330" t="s">
        <v>56</v>
      </c>
      <c r="J20" s="331"/>
      <c r="L20" s="335">
        <v>16</v>
      </c>
      <c r="M20" s="330" t="s">
        <v>28</v>
      </c>
    </row>
    <row r="21" spans="3:13" x14ac:dyDescent="0.25">
      <c r="C21" s="335">
        <v>13</v>
      </c>
      <c r="D21" s="329" t="s">
        <v>114</v>
      </c>
      <c r="G21" s="335">
        <v>13</v>
      </c>
      <c r="H21" s="335">
        <v>17</v>
      </c>
      <c r="I21" s="330" t="s">
        <v>49</v>
      </c>
      <c r="J21" s="331"/>
      <c r="L21" s="335">
        <v>17</v>
      </c>
      <c r="M21" s="330" t="s">
        <v>16</v>
      </c>
    </row>
    <row r="22" spans="3:13" x14ac:dyDescent="0.25">
      <c r="C22" s="335">
        <v>14</v>
      </c>
      <c r="D22" s="329" t="s">
        <v>113</v>
      </c>
      <c r="G22" s="335">
        <v>14</v>
      </c>
      <c r="H22" s="335">
        <v>18</v>
      </c>
      <c r="I22" s="330" t="s">
        <v>28</v>
      </c>
      <c r="J22" s="331"/>
      <c r="L22" s="335">
        <v>18</v>
      </c>
      <c r="M22" s="330" t="s">
        <v>10</v>
      </c>
    </row>
    <row r="23" spans="3:13" x14ac:dyDescent="0.25">
      <c r="C23" s="335">
        <v>15</v>
      </c>
      <c r="D23" s="329" t="s">
        <v>112</v>
      </c>
      <c r="G23" s="335">
        <v>15</v>
      </c>
      <c r="H23" s="335">
        <v>19</v>
      </c>
      <c r="I23" s="330" t="s">
        <v>16</v>
      </c>
      <c r="J23" s="331"/>
      <c r="L23" s="335">
        <v>19</v>
      </c>
      <c r="M23" s="330" t="s">
        <v>2</v>
      </c>
    </row>
    <row r="24" spans="3:13" x14ac:dyDescent="0.25">
      <c r="C24" s="335">
        <v>16</v>
      </c>
      <c r="D24" s="329" t="s">
        <v>111</v>
      </c>
      <c r="G24" s="335">
        <v>16</v>
      </c>
      <c r="H24" s="335">
        <v>20</v>
      </c>
      <c r="I24" s="330" t="s">
        <v>10</v>
      </c>
      <c r="J24" s="331"/>
      <c r="L24" s="335">
        <v>20</v>
      </c>
      <c r="M24" s="330" t="s">
        <v>110</v>
      </c>
    </row>
    <row r="25" spans="3:13" x14ac:dyDescent="0.25">
      <c r="C25" s="335">
        <v>17</v>
      </c>
      <c r="D25" s="329" t="s">
        <v>109</v>
      </c>
      <c r="G25" s="335">
        <v>17</v>
      </c>
      <c r="H25" s="335">
        <v>21</v>
      </c>
      <c r="I25" s="330" t="s">
        <v>2</v>
      </c>
      <c r="J25" s="331"/>
      <c r="L25" s="335">
        <v>21</v>
      </c>
      <c r="M25" s="330" t="s">
        <v>108</v>
      </c>
    </row>
    <row r="26" spans="3:13" x14ac:dyDescent="0.25">
      <c r="C26" s="335">
        <v>18</v>
      </c>
      <c r="D26" s="329" t="s">
        <v>107</v>
      </c>
      <c r="G26" s="335">
        <v>18</v>
      </c>
      <c r="H26" s="335">
        <v>22</v>
      </c>
      <c r="I26" s="330" t="s">
        <v>110</v>
      </c>
      <c r="J26" s="331"/>
      <c r="L26" s="335">
        <v>22</v>
      </c>
      <c r="M26" s="330" t="s">
        <v>106</v>
      </c>
    </row>
    <row r="27" spans="3:13" x14ac:dyDescent="0.25">
      <c r="C27" s="335">
        <v>19</v>
      </c>
      <c r="D27" s="329" t="s">
        <v>105</v>
      </c>
      <c r="G27" s="335">
        <v>19</v>
      </c>
      <c r="H27" s="335">
        <v>23</v>
      </c>
      <c r="I27" s="330" t="s">
        <v>108</v>
      </c>
      <c r="J27" s="331"/>
      <c r="L27" s="335">
        <v>23</v>
      </c>
      <c r="M27" s="330" t="s">
        <v>104</v>
      </c>
    </row>
    <row r="28" spans="3:13" x14ac:dyDescent="0.25">
      <c r="C28" s="335">
        <v>20</v>
      </c>
      <c r="D28" s="329" t="s">
        <v>103</v>
      </c>
      <c r="G28" s="335">
        <v>20</v>
      </c>
      <c r="H28" s="335">
        <v>24</v>
      </c>
      <c r="I28" s="330" t="s">
        <v>106</v>
      </c>
      <c r="J28" s="331"/>
      <c r="L28" s="335">
        <v>24</v>
      </c>
      <c r="M28" s="330" t="s">
        <v>102</v>
      </c>
    </row>
    <row r="29" spans="3:13" x14ac:dyDescent="0.25">
      <c r="C29" s="335">
        <v>21</v>
      </c>
      <c r="D29" s="332" t="s">
        <v>101</v>
      </c>
      <c r="G29" s="335">
        <v>21</v>
      </c>
      <c r="H29" s="335">
        <v>25</v>
      </c>
      <c r="I29" s="330" t="s">
        <v>104</v>
      </c>
      <c r="J29" s="331"/>
      <c r="L29" s="335"/>
      <c r="M29" s="330"/>
    </row>
    <row r="30" spans="3:13" x14ac:dyDescent="0.25">
      <c r="C30" s="335"/>
      <c r="G30" s="335">
        <v>22</v>
      </c>
      <c r="H30" s="335">
        <v>26</v>
      </c>
      <c r="I30" s="333" t="s">
        <v>102</v>
      </c>
      <c r="J30" s="331"/>
      <c r="L30" s="335"/>
      <c r="M30" s="333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2060"/>
    <pageSetUpPr fitToPage="1"/>
  </sheetPr>
  <dimension ref="A1:BJ78"/>
  <sheetViews>
    <sheetView showGridLines="0" tabSelected="1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-- 2020 Q1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 ca="1">G2</f>
        <v>Reg_Percent_2019</v>
      </c>
      <c r="G2" s="239" t="s">
        <v>589</v>
      </c>
      <c r="AJ2" s="240" t="str">
        <f ca="1">AJ4 &amp; AJ3</f>
        <v>'Credit_2019Q4'!d:d</v>
      </c>
      <c r="AK2" s="240" t="str">
        <f ca="1">AK4 &amp; AK3</f>
        <v>'Credit_2019Q4'!b1</v>
      </c>
      <c r="AL2" s="240" t="str">
        <f ca="1">AL4 &amp; AL3</f>
        <v>'Credit_2019Q4'!c1</v>
      </c>
      <c r="AQ2" s="236"/>
    </row>
    <row r="3" spans="1:61" ht="18" hidden="1" outlineLevel="1" x14ac:dyDescent="0.25">
      <c r="A3" s="233"/>
      <c r="E3" s="241" t="str">
        <f ca="1">"'" &amp; E2 &amp; "'!"</f>
        <v>'Reg_Percent_2019'!</v>
      </c>
      <c r="G3" s="234" t="str">
        <f ca="1">"'" &amp; G2 &amp; "'!"</f>
        <v>'Reg_Percent_2019'!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'Credit_2019Q4'!</v>
      </c>
      <c r="AK4" s="236" t="str">
        <f t="shared" ref="AK4:AL4" si="0">$AQ$5</f>
        <v>'Credit_2019Q4'!</v>
      </c>
      <c r="AL4" s="236" t="str">
        <f t="shared" si="0"/>
        <v>'Credit_2019Q4'!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(44)</v>
      </c>
      <c r="M5" s="505"/>
      <c r="N5" s="314"/>
      <c r="O5" s="503" t="str">
        <f ca="1">"Regulated" &amp; CHAR( 10 ) &amp; "(" &amp; O14 &amp; ")"</f>
        <v>Regulated
(34)</v>
      </c>
      <c r="P5" s="507"/>
      <c r="Q5" s="314"/>
      <c r="R5" s="503" t="str">
        <f ca="1">"Mostly Regulated" &amp; CHAR( 10 ) &amp; "(" &amp; R14 &amp; ")"</f>
        <v>Mostly Regulated
(10)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590</v>
      </c>
    </row>
    <row r="6" spans="1:61" ht="28.5" customHeight="1" x14ac:dyDescent="0.25">
      <c r="A6" s="299" t="s">
        <v>0</v>
      </c>
      <c r="B6" s="300" t="s">
        <v>591</v>
      </c>
      <c r="C6" s="338" t="s">
        <v>470</v>
      </c>
      <c r="D6" s="301"/>
      <c r="E6" s="302">
        <f ca="1">INDIRECT( E3 &amp; G1 )</f>
        <v>43830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4.5454545454545456E-2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2.9411764705882353E-2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0.27272727272727271</v>
      </c>
      <c r="N9" s="318"/>
      <c r="O9" s="295">
        <f t="shared" ca="1" si="11"/>
        <v>11</v>
      </c>
      <c r="P9" s="296">
        <f t="shared" ca="1" si="12"/>
        <v>0.3235294117647059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0.40909090909090912</v>
      </c>
      <c r="N10" s="318"/>
      <c r="O10" s="295">
        <f t="shared" ca="1" si="11"/>
        <v>11</v>
      </c>
      <c r="P10" s="296">
        <f t="shared" ca="1" si="12"/>
        <v>0.3235294117647059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0.18181818181818182</v>
      </c>
      <c r="N11" s="318"/>
      <c r="O11" s="295">
        <f t="shared" ca="1" si="11"/>
        <v>8</v>
      </c>
      <c r="P11" s="296">
        <f t="shared" ca="1" si="12"/>
        <v>0.23529411764705882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6.8181818181818177E-2</v>
      </c>
      <c r="N12" s="318"/>
      <c r="O12" s="295">
        <f t="shared" ca="1" si="11"/>
        <v>2</v>
      </c>
      <c r="P12" s="296">
        <f t="shared" ca="1" si="12"/>
        <v>5.8823529411764705E-2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2.2727272727272728E-2</v>
      </c>
      <c r="N13" s="319"/>
      <c r="O13" s="297">
        <f t="shared" ca="1" si="11"/>
        <v>1</v>
      </c>
      <c r="P13" s="298">
        <f t="shared" ca="1" si="12"/>
        <v>2.9411764705882353E-2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44</v>
      </c>
      <c r="M14" s="292">
        <f>L14/L$14</f>
        <v>1</v>
      </c>
      <c r="N14" s="320"/>
      <c r="O14" s="291">
        <f ca="1">SUM(O8:O13)</f>
        <v>34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18.977272727272727</v>
      </c>
      <c r="Z14" s="261"/>
      <c r="AA14" s="489">
        <f ca="1">SUM(AA8:AA13)</f>
        <v>44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19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18.970588235294116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19.100000000000001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MR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73</v>
      </c>
      <c r="AS39" s="286" t="s">
        <v>73</v>
      </c>
      <c r="AT39" s="286" t="s">
        <v>317</v>
      </c>
      <c r="AV39" s="234">
        <f t="shared" si="21"/>
        <v>99</v>
      </c>
      <c r="AW39" s="234">
        <f>COUNTIF( AV$7:AV39, AV39 )</f>
        <v>1</v>
      </c>
      <c r="AX39" s="287">
        <f t="shared" si="22"/>
        <v>99.1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9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</v>
      </c>
      <c r="AL49" s="236">
        <f t="shared" ca="1" si="20"/>
        <v>15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9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73</v>
      </c>
      <c r="C50" s="304" t="s">
        <v>73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si="3"/>
        <v/>
      </c>
      <c r="AH50" s="236" t="str">
        <f t="shared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>Change</v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/>
      </c>
      <c r="BH50" s="240" t="str">
        <f t="shared" ca="1" si="25"/>
        <v/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2</v>
      </c>
      <c r="AX51" s="287">
        <f t="shared" si="22"/>
        <v>99.2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3</v>
      </c>
      <c r="AX52" s="287">
        <f t="shared" si="22"/>
        <v>99.3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4</v>
      </c>
      <c r="AX53" s="287">
        <f t="shared" si="22"/>
        <v>99.4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5</v>
      </c>
      <c r="AX54" s="287">
        <f t="shared" si="22"/>
        <v>99.5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6</v>
      </c>
      <c r="AX55" s="287">
        <f t="shared" si="22"/>
        <v>99.6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7</v>
      </c>
      <c r="AX56" s="287">
        <f t="shared" si="22"/>
        <v>99.7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8</v>
      </c>
      <c r="AX57" s="287">
        <f t="shared" si="22"/>
        <v>99.8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9</v>
      </c>
      <c r="AX58" s="287">
        <f t="shared" si="22"/>
        <v>99.9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10</v>
      </c>
      <c r="AX59" s="287">
        <f t="shared" si="22"/>
        <v>100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11</v>
      </c>
      <c r="AX60" s="287">
        <f t="shared" si="22"/>
        <v>100.1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12</v>
      </c>
      <c r="AX61" s="287">
        <f t="shared" si="22"/>
        <v>100.2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13</v>
      </c>
      <c r="AX62" s="287">
        <f t="shared" si="22"/>
        <v>100.3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14</v>
      </c>
      <c r="AX63" s="287">
        <f t="shared" si="22"/>
        <v>100.4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18.977272727272727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Q4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'Credit_2019Q3'!d:d</v>
      </c>
      <c r="AK2" s="240" t="str">
        <f>AK4 &amp; AK3</f>
        <v>'Credit_2019Q3'!b1</v>
      </c>
      <c r="AL2" s="240" t="str">
        <f>AL4 &amp; AL3</f>
        <v>'Credit_2019Q3'!c1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'Credit_2019Q3'!</v>
      </c>
      <c r="AK4" s="236" t="str">
        <f t="shared" ref="AK4:AL4" si="0">$AQ$5</f>
        <v>'Credit_2019Q3'!</v>
      </c>
      <c r="AL4" s="236" t="str">
        <f t="shared" si="0"/>
        <v>'Credit_2019Q3'!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(45)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(10)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587</v>
      </c>
    </row>
    <row r="6" spans="1:61" ht="28.5" customHeight="1" x14ac:dyDescent="0.25">
      <c r="A6" s="299" t="s">
        <v>0</v>
      </c>
      <c r="B6" s="300" t="s">
        <v>588</v>
      </c>
      <c r="C6" s="338" t="s">
        <v>470</v>
      </c>
      <c r="D6" s="301"/>
      <c r="E6" s="302">
        <f ca="1">INDIRECT( E3 &amp; G1 )</f>
        <v>43465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3</v>
      </c>
      <c r="M12" s="296">
        <f t="shared" si="10"/>
        <v>6.6666666666666666E-2</v>
      </c>
      <c r="N12" s="318"/>
      <c r="O12" s="295">
        <f t="shared" ca="1" si="11"/>
        <v>2</v>
      </c>
      <c r="P12" s="296">
        <f t="shared" ca="1" si="12"/>
        <v>5.7142857142857141E-2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3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2</v>
      </c>
      <c r="M13" s="298">
        <f t="shared" si="10"/>
        <v>4.4444444444444446E-2</v>
      </c>
      <c r="N13" s="319"/>
      <c r="O13" s="297">
        <f t="shared" ca="1" si="11"/>
        <v>2</v>
      </c>
      <c r="P13" s="298">
        <f t="shared" ca="1" si="12"/>
        <v>5.7142857142857141E-2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2</v>
      </c>
      <c r="AE13" s="254"/>
      <c r="AF13" s="236">
        <f t="shared" si="2"/>
        <v>0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18.911111111111111</v>
      </c>
      <c r="Z14" s="261"/>
      <c r="AA14" s="488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18.644444444444446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18.514285714285716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19.100000000000001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61</v>
      </c>
      <c r="AS20" s="286">
        <v>15</v>
      </c>
      <c r="AT20" s="286" t="s">
        <v>442</v>
      </c>
      <c r="AV20" s="234">
        <f t="shared" si="21"/>
        <v>43</v>
      </c>
      <c r="AW20" s="234">
        <f>COUNTIF( AV$7:AV20, AV20 )</f>
        <v>1</v>
      </c>
      <c r="AX20" s="287">
        <f t="shared" si="22"/>
        <v>43.1</v>
      </c>
      <c r="AY20" s="234">
        <f t="shared" si="23"/>
        <v>43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2</v>
      </c>
      <c r="AX30" s="287">
        <f t="shared" si="22"/>
        <v>40.200000000000003</v>
      </c>
      <c r="AY30" s="234">
        <f t="shared" si="23"/>
        <v>41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9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9" t="s">
        <v>448</v>
      </c>
      <c r="AV45" s="234">
        <f t="shared" si="21"/>
        <v>40</v>
      </c>
      <c r="AW45" s="234">
        <f>COUNTIF( AV$7:AV45, AV45 )</f>
        <v>3</v>
      </c>
      <c r="AX45" s="287">
        <f t="shared" si="22"/>
        <v>40.299999999999997</v>
      </c>
      <c r="AY45" s="234">
        <f t="shared" si="23"/>
        <v>42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39</v>
      </c>
      <c r="B47" s="304" t="s">
        <v>49</v>
      </c>
      <c r="C47" s="304">
        <v>17</v>
      </c>
      <c r="D47" s="304" t="s">
        <v>301</v>
      </c>
      <c r="E47" s="305" t="str">
        <f t="shared" ca="1" si="8"/>
        <v>MR</v>
      </c>
      <c r="F47" s="306"/>
      <c r="G47" s="307">
        <f t="shared" ca="1" si="1"/>
        <v>27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48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24</v>
      </c>
      <c r="BF47" s="240" t="str">
        <f t="shared" ca="1" si="25"/>
        <v>Hawaiian Electric Industries,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HE</v>
      </c>
    </row>
    <row r="48" spans="1:61" ht="13.8" x14ac:dyDescent="0.25">
      <c r="A48" s="303" t="s">
        <v>54</v>
      </c>
      <c r="B48" s="304" t="s">
        <v>49</v>
      </c>
      <c r="C48" s="304">
        <v>17</v>
      </c>
      <c r="D48" s="304" t="s">
        <v>448</v>
      </c>
      <c r="E48" s="305" t="str">
        <f t="shared" ca="1" si="8"/>
        <v>R</v>
      </c>
      <c r="F48" s="306"/>
      <c r="G48" s="307">
        <f t="shared" ca="1" si="1"/>
        <v>57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49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39</v>
      </c>
      <c r="BF48" s="240" t="str">
        <f t="shared" ca="1" si="25"/>
        <v>Puget Energy,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**PSD</v>
      </c>
    </row>
    <row r="49" spans="1:61" ht="13.8" x14ac:dyDescent="0.25">
      <c r="A49" s="303" t="s">
        <v>64</v>
      </c>
      <c r="B49" s="304" t="s">
        <v>61</v>
      </c>
      <c r="C49" s="304">
        <v>15</v>
      </c>
      <c r="D49" s="304" t="s">
        <v>442</v>
      </c>
      <c r="E49" s="305" t="str">
        <f t="shared" ca="1" si="8"/>
        <v>R</v>
      </c>
      <c r="F49" s="306"/>
      <c r="G49" s="307">
        <f t="shared" ca="1" si="1"/>
        <v>54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>
        <f t="shared" ca="1" si="18"/>
        <v>1</v>
      </c>
      <c r="AJ49" s="236">
        <f t="shared" ca="1" si="19"/>
        <v>47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>Change</v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14</v>
      </c>
      <c r="BF49" s="240" t="str">
        <f t="shared" ca="1" si="25"/>
        <v>DPL Inc.</v>
      </c>
      <c r="BG49" s="240" t="str">
        <f t="shared" ca="1" si="25"/>
        <v>BB</v>
      </c>
      <c r="BH49" s="240">
        <f t="shared" ca="1" si="25"/>
        <v>15</v>
      </c>
      <c r="BI49" s="240" t="str">
        <f t="shared" ca="1" si="25"/>
        <v>**DPL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18.644444444444446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18.911111111111111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Q3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'Credit_2019Q2'!d:d</v>
      </c>
      <c r="AK2" s="240" t="str">
        <f>AK4 &amp; AK3</f>
        <v>'Credit_2019Q2'!b1</v>
      </c>
      <c r="AL2" s="240" t="str">
        <f>AL4 &amp; AL3</f>
        <v>'Credit_2019Q2'!c1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'Credit_2019Q2'!</v>
      </c>
      <c r="AK4" s="236" t="str">
        <f t="shared" ref="AK4:AL4" si="0">$AQ$5</f>
        <v>'Credit_2019Q2'!</v>
      </c>
      <c r="AL4" s="236" t="str">
        <f t="shared" si="0"/>
        <v>'Credit_2019Q2'!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(45)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(10)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585</v>
      </c>
    </row>
    <row r="6" spans="1:61" ht="28.5" customHeight="1" x14ac:dyDescent="0.25">
      <c r="A6" s="299" t="s">
        <v>0</v>
      </c>
      <c r="B6" s="300" t="s">
        <v>586</v>
      </c>
      <c r="C6" s="338" t="s">
        <v>470</v>
      </c>
      <c r="D6" s="301"/>
      <c r="E6" s="302">
        <f ca="1">INDIRECT( E3 &amp; G1 )</f>
        <v>43465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500</v>
      </c>
      <c r="B7" s="304" t="s">
        <v>2</v>
      </c>
      <c r="C7" s="304">
        <v>21</v>
      </c>
      <c r="D7" s="304" t="s">
        <v>446</v>
      </c>
      <c r="E7" s="305" t="str">
        <f ca="1">IF( LEN( $G7 ) = 0, "", OFFSET( INDIRECT( E$3 &amp; E$4 ), $G7 - 1, 0 ) )</f>
        <v>MR</v>
      </c>
      <c r="F7" s="306"/>
      <c r="G7" s="307">
        <f t="shared" ref="G7:G62" ca="1" si="1">IF( LEN( $D7 ) = 0, "", MATCH( $D7, INDIRECT( G$3 &amp; G$4 ), 0 ) )</f>
        <v>56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8</v>
      </c>
      <c r="AK7" s="236" t="str">
        <f ca="1">IF( ISNA( $AJ7 ), "", OFFSET( INDIRECT( AK$2 ), $AJ7-1, 0 ) )</f>
        <v>A</v>
      </c>
      <c r="AL7" s="236">
        <f ca="1">IF( ISNA( $AJ7 ), "", OFFSET( INDIRECT( AL$2 ), $AJ7-1, 0 ) )</f>
        <v>21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7</v>
      </c>
      <c r="BF7" s="240" t="str">
        <f t="shared" ref="BF7:BI38" ca="1" si="7">OFFSET( AQ$6, $BD7, 0 )</f>
        <v>Berkshire Energy Holdings Company</v>
      </c>
      <c r="BG7" s="240" t="str">
        <f t="shared" ca="1" si="7"/>
        <v>A</v>
      </c>
      <c r="BH7" s="240">
        <f t="shared" ca="1" si="7"/>
        <v>21</v>
      </c>
      <c r="BI7" s="240" t="str">
        <f t="shared" ca="1" si="7"/>
        <v>**BRK</v>
      </c>
    </row>
    <row r="8" spans="1:61" ht="13.8" x14ac:dyDescent="0.25">
      <c r="A8" s="303" t="s">
        <v>17</v>
      </c>
      <c r="B8" s="304" t="s">
        <v>10</v>
      </c>
      <c r="C8" s="304">
        <v>20</v>
      </c>
      <c r="D8" s="304" t="s">
        <v>306</v>
      </c>
      <c r="E8" s="305" t="str">
        <f t="shared" ref="E8:E61" ca="1" si="8">IF( LEN( $G8 ) = 0, "", OFFSET( INDIRECT( E$3 &amp; E$4 ), $G8 - 1, 0 ) )</f>
        <v>R</v>
      </c>
      <c r="F8" s="306"/>
      <c r="G8" s="307">
        <f t="shared" ca="1" si="1"/>
        <v>8</v>
      </c>
      <c r="H8" s="250"/>
      <c r="I8" s="317"/>
      <c r="J8" s="293" t="s">
        <v>138</v>
      </c>
      <c r="K8" s="317"/>
      <c r="L8" s="293">
        <f t="shared" ref="L8:L13" si="9">COUNTIF($C$7:$C$67,$X8)</f>
        <v>2</v>
      </c>
      <c r="M8" s="294">
        <f t="shared" ref="M8:M13" si="10">IF( L8 = 0, "", L8/L$14 )</f>
        <v>4.4444444444444446E-2</v>
      </c>
      <c r="N8" s="317"/>
      <c r="O8" s="293">
        <f t="shared" ref="O8:O13" ca="1" si="11">COUNTIFS( $E$7:$E$66, O$3, $C$7:$C$66, $X8 )</f>
        <v>1</v>
      </c>
      <c r="P8" s="294">
        <f t="shared" ref="P8:P13" ca="1" si="12">IF( O8 = 0, "", O8/O$14 )</f>
        <v>2.8571428571428571E-2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2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9</v>
      </c>
      <c r="AK8" s="236" t="str">
        <f t="shared" ref="AK8:AL67" ca="1" si="20">IF( ISNA( $AJ8 ), "", OFFSET( INDIRECT( AK$2 ), $AJ8-1, 0 ) )</f>
        <v>A-</v>
      </c>
      <c r="AL8" s="236">
        <f t="shared" ca="1" si="20"/>
        <v>20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2</v>
      </c>
      <c r="AW8" s="234">
        <f>COUNTIF( AV$7:AV8, AV8 )</f>
        <v>1</v>
      </c>
      <c r="AX8" s="287">
        <f t="shared" ref="AX8:AX63" si="22">AV8 + AW8 / 10</f>
        <v>2.1</v>
      </c>
      <c r="AY8" s="234">
        <f t="shared" ref="AY8:AY63" si="23">RANK( AX8, $AX$7:$AX$63, 1 )</f>
        <v>2</v>
      </c>
      <c r="AZ8" s="236"/>
      <c r="BA8" s="236"/>
      <c r="BC8" s="234">
        <f ca="1">OFFSET( BC8, -1, 0 ) + 1</f>
        <v>2</v>
      </c>
      <c r="BD8" s="288">
        <f t="shared" ca="1" si="6"/>
        <v>2</v>
      </c>
      <c r="BF8" s="240" t="str">
        <f t="shared" ca="1" si="7"/>
        <v>Alliant Energy Corporation</v>
      </c>
      <c r="BG8" s="240" t="str">
        <f t="shared" ca="1" si="7"/>
        <v>A-</v>
      </c>
      <c r="BH8" s="240">
        <f t="shared" ca="1" si="7"/>
        <v>20</v>
      </c>
      <c r="BI8" s="240" t="str">
        <f t="shared" ca="1" si="7"/>
        <v>LNT</v>
      </c>
    </row>
    <row r="9" spans="1:61" ht="13.8" x14ac:dyDescent="0.25">
      <c r="A9" s="303" t="s">
        <v>258</v>
      </c>
      <c r="B9" s="304" t="s">
        <v>10</v>
      </c>
      <c r="C9" s="304">
        <v>20</v>
      </c>
      <c r="D9" s="304" t="s">
        <v>274</v>
      </c>
      <c r="E9" s="305" t="str">
        <f t="shared" ca="1" si="8"/>
        <v>R</v>
      </c>
      <c r="F9" s="306"/>
      <c r="G9" s="307">
        <f t="shared" ca="1" si="1"/>
        <v>10</v>
      </c>
      <c r="H9" s="250"/>
      <c r="I9" s="318"/>
      <c r="J9" s="295" t="s">
        <v>10</v>
      </c>
      <c r="K9" s="318"/>
      <c r="L9" s="295">
        <f t="shared" si="9"/>
        <v>12</v>
      </c>
      <c r="M9" s="296">
        <f t="shared" si="10"/>
        <v>0.26666666666666666</v>
      </c>
      <c r="N9" s="318"/>
      <c r="O9" s="295">
        <f t="shared" ca="1" si="11"/>
        <v>11</v>
      </c>
      <c r="P9" s="296">
        <f t="shared" ca="1" si="12"/>
        <v>0.31428571428571428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12</v>
      </c>
      <c r="AC9" s="253"/>
      <c r="AE9" s="254"/>
      <c r="AF9" s="236">
        <f t="shared" si="2"/>
        <v>0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10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4</v>
      </c>
      <c r="BF9" s="240" t="str">
        <f t="shared" ca="1" si="7"/>
        <v>American Electric Power Company, Inc.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AEP</v>
      </c>
    </row>
    <row r="10" spans="1:61" ht="13.8" x14ac:dyDescent="0.25">
      <c r="A10" s="303" t="s">
        <v>3</v>
      </c>
      <c r="B10" s="304" t="s">
        <v>10</v>
      </c>
      <c r="C10" s="304">
        <v>20</v>
      </c>
      <c r="D10" s="304" t="s">
        <v>291</v>
      </c>
      <c r="E10" s="305" t="str">
        <f t="shared" ca="1" si="8"/>
        <v>R</v>
      </c>
      <c r="F10" s="306"/>
      <c r="G10" s="307">
        <f t="shared" ca="1" si="1"/>
        <v>16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0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11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2</v>
      </c>
      <c r="AW10" s="234">
        <f>COUNTIF( AV$7:AV10, AV10 )</f>
        <v>2</v>
      </c>
      <c r="AX10" s="287">
        <f t="shared" si="22"/>
        <v>2.2000000000000002</v>
      </c>
      <c r="AY10" s="234">
        <f t="shared" si="23"/>
        <v>3</v>
      </c>
      <c r="AZ10" s="236"/>
      <c r="BA10" s="236"/>
      <c r="BC10" s="234">
        <f t="shared" ca="1" si="24"/>
        <v>4</v>
      </c>
      <c r="BD10" s="288">
        <f t="shared" ca="1" si="6"/>
        <v>12</v>
      </c>
      <c r="BF10" s="240" t="str">
        <f t="shared" ca="1" si="7"/>
        <v>Consolidated Edison,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ED</v>
      </c>
    </row>
    <row r="11" spans="1:61" ht="13.8" x14ac:dyDescent="0.25">
      <c r="A11" s="303" t="s">
        <v>32</v>
      </c>
      <c r="B11" s="304" t="s">
        <v>10</v>
      </c>
      <c r="C11" s="304">
        <v>20</v>
      </c>
      <c r="D11" s="304" t="s">
        <v>289</v>
      </c>
      <c r="E11" s="305" t="str">
        <f t="shared" ca="1" si="8"/>
        <v>R</v>
      </c>
      <c r="F11" s="306"/>
      <c r="G11" s="307">
        <f t="shared" ca="1" si="1"/>
        <v>19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0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12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16</v>
      </c>
      <c r="BF11" s="240" t="str">
        <f t="shared" ca="1" si="7"/>
        <v>Duke Energy Corporation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DUK</v>
      </c>
    </row>
    <row r="12" spans="1:61" ht="13.8" x14ac:dyDescent="0.25">
      <c r="A12" s="303" t="s">
        <v>565</v>
      </c>
      <c r="B12" s="304" t="s">
        <v>10</v>
      </c>
      <c r="C12" s="304">
        <v>20</v>
      </c>
      <c r="D12" s="304" t="s">
        <v>566</v>
      </c>
      <c r="E12" s="305" t="str">
        <f t="shared" ca="1" si="8"/>
        <v>R</v>
      </c>
      <c r="F12" s="306"/>
      <c r="G12" s="307">
        <f t="shared" ca="1" si="1"/>
        <v>23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0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13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20</v>
      </c>
      <c r="BF12" s="240" t="str">
        <f t="shared" ca="1" si="7"/>
        <v>Evergy, Inc.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EVRG</v>
      </c>
    </row>
    <row r="13" spans="1:61" ht="13.8" x14ac:dyDescent="0.25">
      <c r="A13" s="303" t="s">
        <v>515</v>
      </c>
      <c r="B13" s="304" t="s">
        <v>10</v>
      </c>
      <c r="C13" s="304">
        <v>20</v>
      </c>
      <c r="D13" s="304" t="s">
        <v>511</v>
      </c>
      <c r="E13" s="305" t="str">
        <f t="shared" ca="1" si="8"/>
        <v>R</v>
      </c>
      <c r="F13" s="306"/>
      <c r="G13" s="307">
        <f t="shared" ca="1" si="1"/>
        <v>24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0</v>
      </c>
      <c r="AG13" s="236" t="str">
        <f t="shared" ca="1" si="3"/>
        <v/>
      </c>
      <c r="AH13" s="236">
        <f t="shared" ca="1" si="18"/>
        <v>1</v>
      </c>
      <c r="AJ13" s="236">
        <f t="shared" ca="1" si="19"/>
        <v>7</v>
      </c>
      <c r="AK13" s="236" t="str">
        <f t="shared" ca="1" si="20"/>
        <v>A+</v>
      </c>
      <c r="AL13" s="236">
        <f t="shared" ca="1" si="20"/>
        <v>22</v>
      </c>
      <c r="AM13" s="236" t="str">
        <f t="shared" ca="1" si="4"/>
        <v>Change</v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1</v>
      </c>
      <c r="AW13" s="234">
        <f>COUNTIF( AV$7:AV13, AV13 )</f>
        <v>1</v>
      </c>
      <c r="AX13" s="287">
        <f t="shared" si="22"/>
        <v>1.1000000000000001</v>
      </c>
      <c r="AY13" s="234">
        <f t="shared" si="23"/>
        <v>1</v>
      </c>
      <c r="AZ13" s="236"/>
      <c r="BA13" s="236"/>
      <c r="BC13" s="234">
        <f t="shared" ca="1" si="24"/>
        <v>7</v>
      </c>
      <c r="BD13" s="288">
        <f t="shared" ca="1" si="6"/>
        <v>21</v>
      </c>
      <c r="BF13" s="240" t="str">
        <f t="shared" ca="1" si="7"/>
        <v>Eversource Energy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ES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18.933333333333334</v>
      </c>
      <c r="Z14" s="261"/>
      <c r="AA14" s="487">
        <f ca="1">SUM(AA8:AA13)</f>
        <v>45</v>
      </c>
      <c r="AE14" s="254"/>
      <c r="AF14" s="236">
        <f t="shared" si="2"/>
        <v>0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0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18.68888888888889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18.571428571428573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19.100000000000001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0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0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0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2</v>
      </c>
      <c r="AW18" s="234">
        <f>COUNTIF( AV$7:AV18, AV18 )</f>
        <v>3</v>
      </c>
      <c r="AX18" s="287">
        <f t="shared" si="22"/>
        <v>2.2999999999999998</v>
      </c>
      <c r="AY18" s="234">
        <f t="shared" si="23"/>
        <v>4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0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1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1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1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2</v>
      </c>
      <c r="AW22" s="234">
        <f>COUNTIF( AV$7:AV22, AV22 )</f>
        <v>4</v>
      </c>
      <c r="AX22" s="287">
        <f t="shared" si="22"/>
        <v>2.4</v>
      </c>
      <c r="AY22" s="234">
        <f t="shared" si="23"/>
        <v>5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1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1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1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1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2</v>
      </c>
      <c r="AW26" s="234">
        <f>COUNTIF( AV$7:AV26, AV26 )</f>
        <v>5</v>
      </c>
      <c r="AX26" s="287">
        <f t="shared" si="22"/>
        <v>2.5</v>
      </c>
      <c r="AY26" s="234">
        <f t="shared" si="23"/>
        <v>6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1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10</v>
      </c>
      <c r="AS27" s="286">
        <v>20</v>
      </c>
      <c r="AT27" s="286" t="s">
        <v>511</v>
      </c>
      <c r="AV27" s="234">
        <f t="shared" si="21"/>
        <v>2</v>
      </c>
      <c r="AW27" s="234">
        <f>COUNTIF( AV$7:AV27, AV27 )</f>
        <v>6</v>
      </c>
      <c r="AX27" s="287">
        <f t="shared" si="22"/>
        <v>2.6</v>
      </c>
      <c r="AY27" s="234">
        <f t="shared" si="23"/>
        <v>7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1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1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1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1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1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1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1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2</v>
      </c>
      <c r="AW34" s="234">
        <f>COUNTIF( AV$7:AV34, AV34 )</f>
        <v>7</v>
      </c>
      <c r="AX34" s="287">
        <f t="shared" si="22"/>
        <v>2.7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1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1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6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1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0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0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9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0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2</v>
      </c>
      <c r="AW40" s="234">
        <f>COUNTIF( AV$7:AV40, AV40 )</f>
        <v>8</v>
      </c>
      <c r="AX40" s="287">
        <f t="shared" si="22"/>
        <v>2.8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0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0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0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2</v>
      </c>
      <c r="AW43" s="234">
        <f>COUNTIF( AV$7:AV43, AV43 )</f>
        <v>9</v>
      </c>
      <c r="AX43" s="287">
        <f t="shared" si="22"/>
        <v>2.9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0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0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1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1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6" t="s">
        <v>327</v>
      </c>
      <c r="AV47" s="234">
        <f t="shared" si="21"/>
        <v>2</v>
      </c>
      <c r="AW47" s="234">
        <f>COUNTIF( AV$7:AV47, AV47 )</f>
        <v>10</v>
      </c>
      <c r="AX47" s="287">
        <f t="shared" si="22"/>
        <v>3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1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1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2</v>
      </c>
      <c r="AW49" s="234">
        <f>COUNTIF( AV$7:AV49, AV49 )</f>
        <v>11</v>
      </c>
      <c r="AX49" s="287">
        <f t="shared" si="22"/>
        <v>3.1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0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2</v>
      </c>
      <c r="AW50" s="234">
        <f>COUNTIF( AV$7:AV50, AV50 )</f>
        <v>12</v>
      </c>
      <c r="AX50" s="287">
        <f t="shared" si="22"/>
        <v>3.2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9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18.68888888888889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18.933333333333334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BJ78"/>
  <sheetViews>
    <sheetView showGridLines="0" zoomScale="85" zoomScaleNormal="85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09375" defaultRowHeight="13.2" outlineLevelRow="1" outlineLevelCol="2" x14ac:dyDescent="0.25"/>
  <cols>
    <col min="1" max="1" width="35.109375" style="234" customWidth="1"/>
    <col min="2" max="2" width="9.109375" style="234"/>
    <col min="3" max="3" width="9.44140625" style="263" customWidth="1"/>
    <col min="4" max="4" width="9.109375" style="235" customWidth="1" outlineLevel="1"/>
    <col min="5" max="5" width="12.5546875" style="235" customWidth="1" outlineLevel="1"/>
    <col min="6" max="6" width="3.44140625" style="234" customWidth="1" outlineLevel="1"/>
    <col min="7" max="7" width="17.6640625" style="236" hidden="1" customWidth="1" outlineLevel="2"/>
    <col min="8" max="8" width="3.44140625" style="234" hidden="1" customWidth="1" outlineLevel="2" collapsed="1"/>
    <col min="9" max="9" width="3.33203125" style="234" customWidth="1" outlineLevel="1" collapsed="1"/>
    <col min="10" max="10" width="22" style="234" customWidth="1"/>
    <col min="11" max="11" width="2" style="234" customWidth="1"/>
    <col min="12" max="13" width="10.44140625" style="234" customWidth="1"/>
    <col min="14" max="14" width="2" style="234" customWidth="1"/>
    <col min="15" max="16" width="10.44140625" style="234" customWidth="1"/>
    <col min="17" max="17" width="2" style="234" customWidth="1"/>
    <col min="18" max="19" width="10.44140625" style="234" customWidth="1"/>
    <col min="20" max="20" width="2" style="236" customWidth="1"/>
    <col min="21" max="22" width="10.44140625" style="236" hidden="1" customWidth="1" outlineLevel="1"/>
    <col min="23" max="23" width="2" style="234" hidden="1" customWidth="1" outlineLevel="1"/>
    <col min="24" max="24" width="4.109375" style="234" customWidth="1" collapsed="1"/>
    <col min="25" max="25" width="5.5546875" style="234" customWidth="1"/>
    <col min="26" max="26" width="2.44140625" style="234" customWidth="1"/>
    <col min="27" max="27" width="4.33203125" style="234" customWidth="1"/>
    <col min="28" max="30" width="2.44140625" style="234" hidden="1" customWidth="1" outlineLevel="1"/>
    <col min="31" max="31" width="4.44140625" style="234" hidden="1" customWidth="1" outlineLevel="1"/>
    <col min="32" max="32" width="6.5546875" style="236" hidden="1" customWidth="1" outlineLevel="1" collapsed="1"/>
    <col min="33" max="34" width="6.5546875" style="236" hidden="1" customWidth="1" outlineLevel="1"/>
    <col min="35" max="35" width="3.109375" style="234" hidden="1" customWidth="1" outlineLevel="1"/>
    <col min="36" max="36" width="15.88671875" style="236" hidden="1" customWidth="1" outlineLevel="1" collapsed="1"/>
    <col min="37" max="38" width="15.88671875" style="236" hidden="1" customWidth="1" outlineLevel="1"/>
    <col min="39" max="39" width="8.44140625" style="236" hidden="1" customWidth="1" outlineLevel="1"/>
    <col min="40" max="40" width="11.88671875" style="236" hidden="1" customWidth="1" outlineLevel="1"/>
    <col min="41" max="41" width="3.44140625" style="234" customWidth="1" collapsed="1"/>
    <col min="42" max="42" width="3.44140625" style="234" customWidth="1"/>
    <col min="43" max="43" width="29.6640625" style="234" hidden="1" customWidth="1" outlineLevel="1"/>
    <col min="44" max="44" width="6.44140625" style="234" hidden="1" customWidth="1" outlineLevel="1"/>
    <col min="45" max="45" width="6.6640625" style="234" hidden="1" customWidth="1" outlineLevel="1"/>
    <col min="46" max="46" width="8.6640625" style="234" hidden="1" customWidth="1" outlineLevel="1"/>
    <col min="47" max="47" width="3.109375" style="234" hidden="1" customWidth="1" outlineLevel="1"/>
    <col min="48" max="56" width="9.109375" style="234" hidden="1" customWidth="1" outlineLevel="2"/>
    <col min="57" max="57" width="5.44140625" style="234" hidden="1" customWidth="1" outlineLevel="1" collapsed="1"/>
    <col min="58" max="58" width="36.88671875" style="234" hidden="1" customWidth="1" outlineLevel="1"/>
    <col min="59" max="59" width="6.44140625" style="234" hidden="1" customWidth="1" outlineLevel="1"/>
    <col min="60" max="60" width="3.44140625" style="234" hidden="1" customWidth="1" outlineLevel="1"/>
    <col min="61" max="61" width="9.109375" style="234" hidden="1" customWidth="1" outlineLevel="1"/>
    <col min="62" max="62" width="9.109375" collapsed="1"/>
    <col min="63" max="16384" width="9.109375" style="234"/>
  </cols>
  <sheetData>
    <row r="1" spans="1:61" ht="18" x14ac:dyDescent="0.25">
      <c r="A1" s="323" t="str">
        <f>"I.  S&amp;P Utility Credit Ratings Distribution -- " &amp; B6</f>
        <v>I.  S&amp;P Utility Credit Ratings Distribution -- 2019 Q2</v>
      </c>
      <c r="G1" s="242" t="s">
        <v>505</v>
      </c>
      <c r="AF1" s="237" t="s">
        <v>419</v>
      </c>
      <c r="AG1" s="237" t="s">
        <v>420</v>
      </c>
      <c r="AH1" s="237" t="s">
        <v>421</v>
      </c>
      <c r="AJ1" s="237" t="s">
        <v>423</v>
      </c>
      <c r="AK1" s="237" t="s">
        <v>425</v>
      </c>
      <c r="AL1" s="237" t="s">
        <v>425</v>
      </c>
      <c r="AM1" s="237" t="s">
        <v>423</v>
      </c>
      <c r="AN1" s="237"/>
      <c r="AQ1" s="237" t="s">
        <v>496</v>
      </c>
    </row>
    <row r="2" spans="1:61" ht="18" hidden="1" outlineLevel="1" x14ac:dyDescent="0.25">
      <c r="A2" s="233"/>
      <c r="E2" s="238" t="str">
        <f>G2</f>
        <v>Reg_Percent_2018</v>
      </c>
      <c r="G2" s="239" t="s">
        <v>577</v>
      </c>
      <c r="AJ2" s="240" t="str">
        <f>AJ4 &amp; AJ3</f>
        <v>'Credit_2019Q1'!d:d</v>
      </c>
      <c r="AK2" s="240" t="str">
        <f>AK4 &amp; AK3</f>
        <v>'Credit_2019Q1'!b1</v>
      </c>
      <c r="AL2" s="240" t="str">
        <f>AL4 &amp; AL3</f>
        <v>'Credit_2019Q1'!c1</v>
      </c>
      <c r="AQ2" s="236"/>
    </row>
    <row r="3" spans="1:61" ht="18" hidden="1" outlineLevel="1" x14ac:dyDescent="0.25">
      <c r="A3" s="233"/>
      <c r="E3" s="241" t="str">
        <f>"'" &amp; E2 &amp; "'!"</f>
        <v>'Reg_Percent_2018'!</v>
      </c>
      <c r="G3" s="234" t="str">
        <f>"'" &amp; G2 &amp; "'!"</f>
        <v>'Reg_Percent_2018'!</v>
      </c>
      <c r="O3" s="242" t="s">
        <v>370</v>
      </c>
      <c r="P3" s="242"/>
      <c r="Q3" s="242"/>
      <c r="R3" s="242" t="s">
        <v>371</v>
      </c>
      <c r="T3" s="234"/>
      <c r="U3" s="242" t="s">
        <v>86</v>
      </c>
      <c r="V3" s="234"/>
      <c r="X3" s="242"/>
      <c r="Y3" s="242"/>
      <c r="Z3" s="242"/>
      <c r="AA3" s="242"/>
      <c r="AJ3" s="210" t="s">
        <v>437</v>
      </c>
      <c r="AK3" s="210" t="s">
        <v>426</v>
      </c>
      <c r="AL3" s="210" t="s">
        <v>452</v>
      </c>
      <c r="AQ3" s="236"/>
    </row>
    <row r="4" spans="1:61" ht="18" hidden="1" outlineLevel="1" x14ac:dyDescent="0.25">
      <c r="A4" s="233"/>
      <c r="E4" s="242" t="s">
        <v>438</v>
      </c>
      <c r="G4" s="242" t="s">
        <v>437</v>
      </c>
      <c r="O4" s="236"/>
      <c r="P4" s="236"/>
      <c r="Q4" s="236"/>
      <c r="T4" s="234"/>
      <c r="U4" s="234"/>
      <c r="V4" s="234"/>
      <c r="AJ4" s="236" t="str">
        <f>$AQ$5</f>
        <v>'Credit_2019Q1'!</v>
      </c>
      <c r="AK4" s="236" t="str">
        <f t="shared" ref="AK4:AL4" si="0">$AQ$5</f>
        <v>'Credit_2019Q1'!</v>
      </c>
      <c r="AL4" s="236" t="str">
        <f t="shared" si="0"/>
        <v>'Credit_2019Q1'!</v>
      </c>
      <c r="AQ4" s="236"/>
    </row>
    <row r="5" spans="1:61" ht="13.8" collapsed="1" x14ac:dyDescent="0.25">
      <c r="E5" s="243" t="s">
        <v>435</v>
      </c>
      <c r="G5" s="237" t="s">
        <v>423</v>
      </c>
      <c r="I5" s="314"/>
      <c r="J5" s="503" t="s">
        <v>77</v>
      </c>
      <c r="K5" s="314"/>
      <c r="L5" s="505" t="str">
        <f>"All Companies" &amp; CHAR( 10 ) &amp; "("&amp; L14 &amp; ")"</f>
        <v>All Companies
(45)</v>
      </c>
      <c r="M5" s="505"/>
      <c r="N5" s="314"/>
      <c r="O5" s="503" t="str">
        <f ca="1">"Regulated" &amp; CHAR( 10 ) &amp; "(" &amp; O14 &amp; ")"</f>
        <v>Regulated
(35)</v>
      </c>
      <c r="P5" s="507"/>
      <c r="Q5" s="314"/>
      <c r="R5" s="503" t="str">
        <f ca="1">"Mostly Regulated" &amp; CHAR( 10 ) &amp; "(" &amp; R14 &amp; ")"</f>
        <v>Mostly Regulated
(10)</v>
      </c>
      <c r="S5" s="507"/>
      <c r="T5" s="314"/>
      <c r="U5" s="503" t="str">
        <f ca="1">"Diversified" &amp; CHAR( 10 ) &amp; "(" &amp; U14 &amp; ")"</f>
        <v>Diversified
(0)</v>
      </c>
      <c r="V5" s="507"/>
      <c r="W5" s="314"/>
      <c r="AE5" s="244"/>
      <c r="AF5" s="234"/>
      <c r="AG5" s="234"/>
      <c r="AH5" s="234"/>
      <c r="AJ5" s="234"/>
      <c r="AK5" s="234"/>
      <c r="AL5" s="234"/>
      <c r="AM5" s="234"/>
      <c r="AN5" s="234"/>
      <c r="AQ5" s="432" t="s">
        <v>583</v>
      </c>
    </row>
    <row r="6" spans="1:61" ht="28.5" customHeight="1" x14ac:dyDescent="0.25">
      <c r="A6" s="299" t="s">
        <v>0</v>
      </c>
      <c r="B6" s="300" t="s">
        <v>584</v>
      </c>
      <c r="C6" s="338" t="s">
        <v>470</v>
      </c>
      <c r="D6" s="301"/>
      <c r="E6" s="302">
        <f ca="1">INDIRECT( E3 &amp; G1 )</f>
        <v>43465</v>
      </c>
      <c r="I6" s="315"/>
      <c r="J6" s="504"/>
      <c r="K6" s="315"/>
      <c r="L6" s="506"/>
      <c r="M6" s="506"/>
      <c r="N6" s="315"/>
      <c r="O6" s="504"/>
      <c r="P6" s="504"/>
      <c r="Q6" s="315"/>
      <c r="R6" s="504" t="s">
        <v>137</v>
      </c>
      <c r="S6" s="504"/>
      <c r="T6" s="315"/>
      <c r="U6" s="504"/>
      <c r="V6" s="504"/>
      <c r="W6" s="315"/>
      <c r="AE6" s="245"/>
      <c r="AJ6" s="246"/>
    </row>
    <row r="7" spans="1:61" ht="13.8" x14ac:dyDescent="0.25">
      <c r="A7" s="303" t="s">
        <v>515</v>
      </c>
      <c r="B7" s="304" t="s">
        <v>110</v>
      </c>
      <c r="C7" s="304">
        <v>22</v>
      </c>
      <c r="D7" s="304" t="s">
        <v>511</v>
      </c>
      <c r="E7" s="305" t="str">
        <f ca="1">IF( LEN( $G7 ) = 0, "", OFFSET( INDIRECT( E$3 &amp; E$4 ), $G7 - 1, 0 ) )</f>
        <v>R</v>
      </c>
      <c r="F7" s="306"/>
      <c r="G7" s="307">
        <f t="shared" ref="G7:G62" ca="1" si="1">IF( LEN( $D7 ) = 0, "", MATCH( $D7, INDIRECT( G$3 &amp; G$4 ), 0 ) )</f>
        <v>24</v>
      </c>
      <c r="H7" s="250"/>
      <c r="I7" s="316"/>
      <c r="J7" s="252"/>
      <c r="K7" s="316"/>
      <c r="L7" s="252" t="s">
        <v>81</v>
      </c>
      <c r="M7" s="252" t="s">
        <v>82</v>
      </c>
      <c r="N7" s="316"/>
      <c r="O7" s="252" t="s">
        <v>81</v>
      </c>
      <c r="P7" s="252" t="s">
        <v>82</v>
      </c>
      <c r="Q7" s="316"/>
      <c r="R7" s="252" t="s">
        <v>81</v>
      </c>
      <c r="S7" s="252" t="s">
        <v>82</v>
      </c>
      <c r="T7" s="316"/>
      <c r="U7" s="252" t="s">
        <v>81</v>
      </c>
      <c r="V7" s="252" t="s">
        <v>82</v>
      </c>
      <c r="W7" s="316"/>
      <c r="AE7" s="254"/>
      <c r="AF7" s="236">
        <f t="shared" ref="AF7:AF67" si="2">IF( LEN( C7 ) = 0, 0, IF( C7 = C6, AF6, IF( AF6 = 1, 0, 1 ) ) )</f>
        <v>1</v>
      </c>
      <c r="AG7" s="236" t="str">
        <f t="shared" ref="AG7:AG64" ca="1" si="3">IF( LEN( $C7 ) = 0, "", IF( $C7 &gt; $AL7, 1, "" ) )</f>
        <v/>
      </c>
      <c r="AH7" s="236" t="str">
        <f ca="1">IF( LEN( $C7 ) = 0, "", IF( $C7 &lt; $AL7, 1, "" ) )</f>
        <v/>
      </c>
      <c r="AJ7" s="236">
        <f ca="1">MATCH( $D7, INDIRECT( AJ$2 ), 0 )</f>
        <v>7</v>
      </c>
      <c r="AK7" s="236" t="str">
        <f ca="1">IF( ISNA( $AJ7 ), "", OFFSET( INDIRECT( AK$2 ), $AJ7-1, 0 ) )</f>
        <v>A+</v>
      </c>
      <c r="AL7" s="236">
        <f ca="1">IF( ISNA( $AJ7 ), "", OFFSET( INDIRECT( AL$2 ), $AJ7-1, 0 ) )</f>
        <v>22</v>
      </c>
      <c r="AM7" s="236" t="str">
        <f t="shared" ref="AM7:AM67" ca="1" si="4">IF( B7 = AK7, "", "Change" )</f>
        <v/>
      </c>
      <c r="AQ7" s="286" t="s">
        <v>15</v>
      </c>
      <c r="AR7" s="286" t="s">
        <v>16</v>
      </c>
      <c r="AS7" s="286">
        <v>19</v>
      </c>
      <c r="AT7" s="286" t="s">
        <v>276</v>
      </c>
      <c r="AV7" s="234">
        <f>IF( LEN( AS7 ) = 0, 99, RANK( AS7, $AS$7:$AS$63 ) )</f>
        <v>14</v>
      </c>
      <c r="AW7" s="234">
        <f>COUNTIF( AV7:AV$7, AV7 )</f>
        <v>1</v>
      </c>
      <c r="AX7" s="287">
        <f>AV7 + AW7 / 10</f>
        <v>14.1</v>
      </c>
      <c r="AY7" s="234">
        <f>RANK( AX7, $AX$7:$AX$63, 1 )</f>
        <v>14</v>
      </c>
      <c r="AZ7" s="236"/>
      <c r="BA7" s="236"/>
      <c r="BC7" s="234">
        <f t="shared" ref="BC7" ca="1" si="5">OFFSET( BC7, -1, 0 ) + 1</f>
        <v>1</v>
      </c>
      <c r="BD7" s="288">
        <f t="shared" ref="BD7:BD62" ca="1" si="6">MATCH( BC7, $AY$7:$AY$63, 0 )</f>
        <v>21</v>
      </c>
      <c r="BF7" s="240" t="str">
        <f t="shared" ref="BF7:BI38" ca="1" si="7">OFFSET( AQ$6, $BD7, 0 )</f>
        <v>Eversource Energy</v>
      </c>
      <c r="BG7" s="240" t="str">
        <f t="shared" ca="1" si="7"/>
        <v>A+</v>
      </c>
      <c r="BH7" s="240">
        <f t="shared" ca="1" si="7"/>
        <v>22</v>
      </c>
      <c r="BI7" s="240" t="str">
        <f t="shared" ca="1" si="7"/>
        <v>ES</v>
      </c>
    </row>
    <row r="8" spans="1:61" ht="13.8" x14ac:dyDescent="0.25">
      <c r="A8" s="303" t="s">
        <v>500</v>
      </c>
      <c r="B8" s="304" t="s">
        <v>2</v>
      </c>
      <c r="C8" s="304">
        <v>21</v>
      </c>
      <c r="D8" s="304" t="s">
        <v>446</v>
      </c>
      <c r="E8" s="305" t="str">
        <f t="shared" ref="E8:E61" ca="1" si="8">IF( LEN( $G8 ) = 0, "", OFFSET( INDIRECT( E$3 &amp; E$4 ), $G8 - 1, 0 ) )</f>
        <v>MR</v>
      </c>
      <c r="F8" s="306"/>
      <c r="G8" s="307">
        <f t="shared" ca="1" si="1"/>
        <v>56</v>
      </c>
      <c r="H8" s="250"/>
      <c r="I8" s="317"/>
      <c r="J8" s="293" t="s">
        <v>138</v>
      </c>
      <c r="K8" s="317"/>
      <c r="L8" s="293">
        <f t="shared" ref="L8:L13" si="9">COUNTIF($C$7:$C$67,$X8)</f>
        <v>3</v>
      </c>
      <c r="M8" s="294">
        <f t="shared" ref="M8:M13" si="10">IF( L8 = 0, "", L8/L$14 )</f>
        <v>6.6666666666666666E-2</v>
      </c>
      <c r="N8" s="317"/>
      <c r="O8" s="293">
        <f t="shared" ref="O8:O13" ca="1" si="11">COUNTIFS( $E$7:$E$66, O$3, $C$7:$C$66, $X8 )</f>
        <v>2</v>
      </c>
      <c r="P8" s="294">
        <f t="shared" ref="P8:P13" ca="1" si="12">IF( O8 = 0, "", O8/O$14 )</f>
        <v>5.7142857142857141E-2</v>
      </c>
      <c r="Q8" s="317"/>
      <c r="R8" s="293">
        <f t="shared" ref="R8:R13" ca="1" si="13">COUNTIFS( $E$7:$E$66, R$3, $C$7:$C$66, $X8 )</f>
        <v>1</v>
      </c>
      <c r="S8" s="294">
        <f t="shared" ref="S8:S13" ca="1" si="14">IF( R8 = 0, "", R8/R$14 )</f>
        <v>0.1</v>
      </c>
      <c r="T8" s="317"/>
      <c r="U8" s="293">
        <f t="shared" ref="U8:U13" ca="1" si="15">COUNTIFS( $E$7:$E$66, U$3, $C$7:$C$66, $X8 )</f>
        <v>0</v>
      </c>
      <c r="V8" s="294" t="str">
        <f t="shared" ref="V8:V13" ca="1" si="16">IF( U8 = 0, "", U8/U$14 )</f>
        <v/>
      </c>
      <c r="W8" s="317"/>
      <c r="X8" s="256" t="s">
        <v>463</v>
      </c>
      <c r="Y8" s="256">
        <v>21</v>
      </c>
      <c r="Z8" s="256">
        <v>1</v>
      </c>
      <c r="AA8" s="255">
        <f t="shared" ref="AA8:AA13" ca="1" si="17">SUM(O8, R8, U8)</f>
        <v>3</v>
      </c>
      <c r="AC8" s="257"/>
      <c r="AE8" s="254"/>
      <c r="AF8" s="236">
        <f t="shared" si="2"/>
        <v>0</v>
      </c>
      <c r="AG8" s="236" t="str">
        <f t="shared" ca="1" si="3"/>
        <v/>
      </c>
      <c r="AH8" s="236" t="str">
        <f t="shared" ref="AH8:AH67" ca="1" si="18">IF( LEN( $C8 ) = 0, "", IF( $C8 &lt; $AL8, 1, "" ) )</f>
        <v/>
      </c>
      <c r="AJ8" s="236">
        <f t="shared" ref="AJ8:AJ67" ca="1" si="19">MATCH( $D8, INDIRECT( AJ$2 ), 0 )</f>
        <v>8</v>
      </c>
      <c r="AK8" s="236" t="str">
        <f t="shared" ref="AK8:AL67" ca="1" si="20">IF( ISNA( $AJ8 ), "", OFFSET( INDIRECT( AK$2 ), $AJ8-1, 0 ) )</f>
        <v>A</v>
      </c>
      <c r="AL8" s="236">
        <f t="shared" ca="1" si="20"/>
        <v>21</v>
      </c>
      <c r="AM8" s="236" t="str">
        <f t="shared" ca="1" si="4"/>
        <v/>
      </c>
      <c r="AQ8" s="286" t="s">
        <v>17</v>
      </c>
      <c r="AR8" s="286" t="s">
        <v>10</v>
      </c>
      <c r="AS8" s="286">
        <v>20</v>
      </c>
      <c r="AT8" s="286" t="s">
        <v>306</v>
      </c>
      <c r="AV8" s="234">
        <f t="shared" ref="AV8:AV63" si="21">IF( LEN( AS8 ) = 0, 99, RANK( AS8, $AS$7:$AS$63 ) )</f>
        <v>3</v>
      </c>
      <c r="AW8" s="234">
        <f>COUNTIF( AV$7:AV8, AV8 )</f>
        <v>1</v>
      </c>
      <c r="AX8" s="287">
        <f t="shared" ref="AX8:AX63" si="22">AV8 + AW8 / 10</f>
        <v>3.1</v>
      </c>
      <c r="AY8" s="234">
        <f t="shared" ref="AY8:AY63" si="23">RANK( AX8, $AX$7:$AX$63, 1 )</f>
        <v>3</v>
      </c>
      <c r="AZ8" s="236"/>
      <c r="BA8" s="236"/>
      <c r="BC8" s="234">
        <f ca="1">OFFSET( BC8, -1, 0 ) + 1</f>
        <v>2</v>
      </c>
      <c r="BD8" s="288">
        <f t="shared" ca="1" si="6"/>
        <v>7</v>
      </c>
      <c r="BF8" s="240" t="str">
        <f t="shared" ca="1" si="7"/>
        <v>Berkshire Energy Holdings Company</v>
      </c>
      <c r="BG8" s="240" t="str">
        <f t="shared" ca="1" si="7"/>
        <v>A</v>
      </c>
      <c r="BH8" s="240">
        <f t="shared" ca="1" si="7"/>
        <v>21</v>
      </c>
      <c r="BI8" s="240" t="str">
        <f t="shared" ca="1" si="7"/>
        <v>**BRK</v>
      </c>
    </row>
    <row r="9" spans="1:61" ht="13.8" x14ac:dyDescent="0.25">
      <c r="A9" s="303" t="s">
        <v>17</v>
      </c>
      <c r="B9" s="304" t="s">
        <v>10</v>
      </c>
      <c r="C9" s="304">
        <v>20</v>
      </c>
      <c r="D9" s="304" t="s">
        <v>306</v>
      </c>
      <c r="E9" s="305" t="str">
        <f t="shared" ca="1" si="8"/>
        <v>R</v>
      </c>
      <c r="F9" s="306"/>
      <c r="G9" s="307">
        <f t="shared" ca="1" si="1"/>
        <v>8</v>
      </c>
      <c r="H9" s="250"/>
      <c r="I9" s="318"/>
      <c r="J9" s="295" t="s">
        <v>10</v>
      </c>
      <c r="K9" s="318"/>
      <c r="L9" s="295">
        <f t="shared" si="9"/>
        <v>11</v>
      </c>
      <c r="M9" s="296">
        <f t="shared" si="10"/>
        <v>0.24444444444444444</v>
      </c>
      <c r="N9" s="318"/>
      <c r="O9" s="295">
        <f t="shared" ca="1" si="11"/>
        <v>10</v>
      </c>
      <c r="P9" s="296">
        <f t="shared" ca="1" si="12"/>
        <v>0.2857142857142857</v>
      </c>
      <c r="Q9" s="318"/>
      <c r="R9" s="295">
        <f t="shared" ca="1" si="13"/>
        <v>1</v>
      </c>
      <c r="S9" s="296">
        <f t="shared" ca="1" si="14"/>
        <v>0.1</v>
      </c>
      <c r="T9" s="318"/>
      <c r="U9" s="295">
        <f t="shared" ca="1" si="15"/>
        <v>0</v>
      </c>
      <c r="V9" s="296" t="str">
        <f t="shared" ca="1" si="16"/>
        <v/>
      </c>
      <c r="W9" s="318"/>
      <c r="X9" s="256" t="s">
        <v>464</v>
      </c>
      <c r="Y9" s="256">
        <v>20</v>
      </c>
      <c r="Z9" s="256">
        <v>1</v>
      </c>
      <c r="AA9" s="255">
        <f t="shared" ca="1" si="17"/>
        <v>11</v>
      </c>
      <c r="AC9" s="253"/>
      <c r="AE9" s="254"/>
      <c r="AF9" s="236">
        <f t="shared" si="2"/>
        <v>1</v>
      </c>
      <c r="AG9" s="236" t="str">
        <f t="shared" ca="1" si="3"/>
        <v/>
      </c>
      <c r="AH9" s="236" t="str">
        <f t="shared" ca="1" si="18"/>
        <v/>
      </c>
      <c r="AJ9" s="236">
        <f t="shared" ca="1" si="19"/>
        <v>9</v>
      </c>
      <c r="AK9" s="236" t="str">
        <f t="shared" ca="1" si="20"/>
        <v>A-</v>
      </c>
      <c r="AL9" s="236">
        <f t="shared" ca="1" si="20"/>
        <v>20</v>
      </c>
      <c r="AM9" s="236" t="str">
        <f t="shared" ca="1" si="4"/>
        <v/>
      </c>
      <c r="AQ9" s="286" t="s">
        <v>9</v>
      </c>
      <c r="AR9" s="286" t="s">
        <v>16</v>
      </c>
      <c r="AS9" s="286">
        <v>19</v>
      </c>
      <c r="AT9" s="286" t="s">
        <v>273</v>
      </c>
      <c r="AV9" s="234">
        <f t="shared" si="21"/>
        <v>14</v>
      </c>
      <c r="AW9" s="234">
        <f>COUNTIF( AV$7:AV9, AV9 )</f>
        <v>2</v>
      </c>
      <c r="AX9" s="287">
        <f t="shared" si="22"/>
        <v>14.2</v>
      </c>
      <c r="AY9" s="234">
        <f t="shared" si="23"/>
        <v>15</v>
      </c>
      <c r="AZ9" s="236"/>
      <c r="BA9" s="236"/>
      <c r="BC9" s="234">
        <f t="shared" ref="BC9:BC63" ca="1" si="24">OFFSET( BC9, -1, 0 ) + 1</f>
        <v>3</v>
      </c>
      <c r="BD9" s="288">
        <f t="shared" ca="1" si="6"/>
        <v>2</v>
      </c>
      <c r="BF9" s="240" t="str">
        <f t="shared" ca="1" si="7"/>
        <v>Alliant Energy Corporation</v>
      </c>
      <c r="BG9" s="240" t="str">
        <f t="shared" ca="1" si="7"/>
        <v>A-</v>
      </c>
      <c r="BH9" s="240">
        <f t="shared" ca="1" si="7"/>
        <v>20</v>
      </c>
      <c r="BI9" s="240" t="str">
        <f t="shared" ca="1" si="7"/>
        <v>LNT</v>
      </c>
    </row>
    <row r="10" spans="1:61" ht="13.8" x14ac:dyDescent="0.25">
      <c r="A10" s="303" t="s">
        <v>258</v>
      </c>
      <c r="B10" s="304" t="s">
        <v>10</v>
      </c>
      <c r="C10" s="304">
        <v>20</v>
      </c>
      <c r="D10" s="304" t="s">
        <v>274</v>
      </c>
      <c r="E10" s="305" t="str">
        <f t="shared" ca="1" si="8"/>
        <v>R</v>
      </c>
      <c r="F10" s="306"/>
      <c r="G10" s="307">
        <f t="shared" ca="1" si="1"/>
        <v>10</v>
      </c>
      <c r="H10" s="250"/>
      <c r="I10" s="318"/>
      <c r="J10" s="295" t="s">
        <v>16</v>
      </c>
      <c r="K10" s="318"/>
      <c r="L10" s="295">
        <f t="shared" si="9"/>
        <v>18</v>
      </c>
      <c r="M10" s="296">
        <f t="shared" si="10"/>
        <v>0.4</v>
      </c>
      <c r="N10" s="318"/>
      <c r="O10" s="295">
        <f t="shared" ca="1" si="11"/>
        <v>11</v>
      </c>
      <c r="P10" s="296">
        <f t="shared" ca="1" si="12"/>
        <v>0.31428571428571428</v>
      </c>
      <c r="Q10" s="318"/>
      <c r="R10" s="295">
        <f t="shared" ca="1" si="13"/>
        <v>7</v>
      </c>
      <c r="S10" s="296">
        <f t="shared" ca="1" si="14"/>
        <v>0.7</v>
      </c>
      <c r="T10" s="318"/>
      <c r="U10" s="295">
        <f t="shared" ca="1" si="15"/>
        <v>0</v>
      </c>
      <c r="V10" s="296" t="str">
        <f t="shared" ca="1" si="16"/>
        <v/>
      </c>
      <c r="W10" s="318"/>
      <c r="X10" s="256" t="s">
        <v>465</v>
      </c>
      <c r="Y10" s="256">
        <v>19</v>
      </c>
      <c r="Z10" s="256">
        <v>1</v>
      </c>
      <c r="AA10" s="255">
        <f t="shared" ca="1" si="17"/>
        <v>18</v>
      </c>
      <c r="AE10" s="254"/>
      <c r="AF10" s="236">
        <f t="shared" si="2"/>
        <v>1</v>
      </c>
      <c r="AG10" s="236" t="str">
        <f t="shared" ca="1" si="3"/>
        <v/>
      </c>
      <c r="AH10" s="236" t="str">
        <f t="shared" ca="1" si="18"/>
        <v/>
      </c>
      <c r="AJ10" s="236">
        <f t="shared" ca="1" si="19"/>
        <v>10</v>
      </c>
      <c r="AK10" s="236" t="str">
        <f t="shared" ca="1" si="20"/>
        <v>A-</v>
      </c>
      <c r="AL10" s="236">
        <f t="shared" ca="1" si="20"/>
        <v>20</v>
      </c>
      <c r="AM10" s="236" t="str">
        <f t="shared" ca="1" si="4"/>
        <v/>
      </c>
      <c r="AQ10" s="286" t="s">
        <v>258</v>
      </c>
      <c r="AR10" s="286" t="s">
        <v>10</v>
      </c>
      <c r="AS10" s="286">
        <v>20</v>
      </c>
      <c r="AT10" s="286" t="s">
        <v>274</v>
      </c>
      <c r="AV10" s="234">
        <f t="shared" si="21"/>
        <v>3</v>
      </c>
      <c r="AW10" s="234">
        <f>COUNTIF( AV$7:AV10, AV10 )</f>
        <v>2</v>
      </c>
      <c r="AX10" s="287">
        <f t="shared" si="22"/>
        <v>3.2</v>
      </c>
      <c r="AY10" s="234">
        <f t="shared" si="23"/>
        <v>4</v>
      </c>
      <c r="AZ10" s="236"/>
      <c r="BA10" s="236"/>
      <c r="BC10" s="234">
        <f t="shared" ca="1" si="24"/>
        <v>4</v>
      </c>
      <c r="BD10" s="288">
        <f t="shared" ca="1" si="6"/>
        <v>4</v>
      </c>
      <c r="BF10" s="240" t="str">
        <f t="shared" ca="1" si="7"/>
        <v>American Electric Power Company, Inc.</v>
      </c>
      <c r="BG10" s="240" t="str">
        <f t="shared" ca="1" si="7"/>
        <v>A-</v>
      </c>
      <c r="BH10" s="240">
        <f t="shared" ca="1" si="7"/>
        <v>20</v>
      </c>
      <c r="BI10" s="240" t="str">
        <f t="shared" ca="1" si="7"/>
        <v>AEP</v>
      </c>
    </row>
    <row r="11" spans="1:61" ht="13.8" x14ac:dyDescent="0.25">
      <c r="A11" s="303" t="s">
        <v>3</v>
      </c>
      <c r="B11" s="304" t="s">
        <v>10</v>
      </c>
      <c r="C11" s="304">
        <v>20</v>
      </c>
      <c r="D11" s="304" t="s">
        <v>291</v>
      </c>
      <c r="E11" s="305" t="str">
        <f t="shared" ca="1" si="8"/>
        <v>R</v>
      </c>
      <c r="F11" s="306"/>
      <c r="G11" s="307">
        <f t="shared" ca="1" si="1"/>
        <v>16</v>
      </c>
      <c r="H11" s="250"/>
      <c r="I11" s="318"/>
      <c r="J11" s="295" t="s">
        <v>28</v>
      </c>
      <c r="K11" s="318"/>
      <c r="L11" s="295">
        <f t="shared" si="9"/>
        <v>8</v>
      </c>
      <c r="M11" s="296">
        <f t="shared" si="10"/>
        <v>0.17777777777777778</v>
      </c>
      <c r="N11" s="318"/>
      <c r="O11" s="295">
        <f t="shared" ca="1" si="11"/>
        <v>8</v>
      </c>
      <c r="P11" s="296">
        <f t="shared" ca="1" si="12"/>
        <v>0.22857142857142856</v>
      </c>
      <c r="Q11" s="318"/>
      <c r="R11" s="295">
        <f t="shared" ca="1" si="13"/>
        <v>0</v>
      </c>
      <c r="S11" s="296" t="str">
        <f t="shared" ca="1" si="14"/>
        <v/>
      </c>
      <c r="T11" s="318"/>
      <c r="U11" s="295">
        <f t="shared" ca="1" si="15"/>
        <v>0</v>
      </c>
      <c r="V11" s="296" t="str">
        <f t="shared" ca="1" si="16"/>
        <v/>
      </c>
      <c r="W11" s="318"/>
      <c r="X11" s="256" t="s">
        <v>466</v>
      </c>
      <c r="Y11" s="256">
        <v>18</v>
      </c>
      <c r="Z11" s="256">
        <v>1</v>
      </c>
      <c r="AA11" s="255">
        <f t="shared" ca="1" si="17"/>
        <v>8</v>
      </c>
      <c r="AE11" s="254"/>
      <c r="AF11" s="236">
        <f t="shared" si="2"/>
        <v>1</v>
      </c>
      <c r="AG11" s="236" t="str">
        <f t="shared" ca="1" si="3"/>
        <v/>
      </c>
      <c r="AH11" s="236" t="str">
        <f t="shared" ca="1" si="18"/>
        <v/>
      </c>
      <c r="AJ11" s="236">
        <f t="shared" ca="1" si="19"/>
        <v>11</v>
      </c>
      <c r="AK11" s="236" t="str">
        <f t="shared" ca="1" si="20"/>
        <v>A-</v>
      </c>
      <c r="AL11" s="236">
        <f t="shared" ca="1" si="20"/>
        <v>20</v>
      </c>
      <c r="AM11" s="236" t="str">
        <f t="shared" ca="1" si="4"/>
        <v/>
      </c>
      <c r="AQ11" s="286" t="s">
        <v>531</v>
      </c>
      <c r="AR11" s="286" t="s">
        <v>16</v>
      </c>
      <c r="AS11" s="286">
        <v>19</v>
      </c>
      <c r="AT11" s="286" t="s">
        <v>529</v>
      </c>
      <c r="AV11" s="234">
        <f t="shared" si="21"/>
        <v>14</v>
      </c>
      <c r="AW11" s="234">
        <f>COUNTIF( AV$7:AV11, AV11 )</f>
        <v>3</v>
      </c>
      <c r="AX11" s="287">
        <f t="shared" si="22"/>
        <v>14.3</v>
      </c>
      <c r="AY11" s="234">
        <f t="shared" si="23"/>
        <v>16</v>
      </c>
      <c r="AZ11" s="236"/>
      <c r="BA11" s="236"/>
      <c r="BC11" s="234">
        <f t="shared" ca="1" si="24"/>
        <v>5</v>
      </c>
      <c r="BD11" s="288">
        <f t="shared" ca="1" si="6"/>
        <v>12</v>
      </c>
      <c r="BF11" s="240" t="str">
        <f t="shared" ca="1" si="7"/>
        <v>Consolidated Edison, Inc.</v>
      </c>
      <c r="BG11" s="240" t="str">
        <f t="shared" ca="1" si="7"/>
        <v>A-</v>
      </c>
      <c r="BH11" s="240">
        <f t="shared" ca="1" si="7"/>
        <v>20</v>
      </c>
      <c r="BI11" s="240" t="str">
        <f t="shared" ca="1" si="7"/>
        <v>ED</v>
      </c>
    </row>
    <row r="12" spans="1:61" ht="13.8" x14ac:dyDescent="0.25">
      <c r="A12" s="303" t="s">
        <v>32</v>
      </c>
      <c r="B12" s="304" t="s">
        <v>10</v>
      </c>
      <c r="C12" s="304">
        <v>20</v>
      </c>
      <c r="D12" s="304" t="s">
        <v>289</v>
      </c>
      <c r="E12" s="305" t="str">
        <f t="shared" ca="1" si="8"/>
        <v>R</v>
      </c>
      <c r="F12" s="306"/>
      <c r="G12" s="307">
        <f t="shared" ca="1" si="1"/>
        <v>19</v>
      </c>
      <c r="H12" s="250"/>
      <c r="I12" s="318"/>
      <c r="J12" s="295" t="s">
        <v>49</v>
      </c>
      <c r="K12" s="318"/>
      <c r="L12" s="295">
        <f t="shared" si="9"/>
        <v>4</v>
      </c>
      <c r="M12" s="296">
        <f t="shared" si="10"/>
        <v>8.8888888888888892E-2</v>
      </c>
      <c r="N12" s="318"/>
      <c r="O12" s="295">
        <f t="shared" ca="1" si="11"/>
        <v>3</v>
      </c>
      <c r="P12" s="296">
        <f t="shared" ca="1" si="12"/>
        <v>8.5714285714285715E-2</v>
      </c>
      <c r="Q12" s="318"/>
      <c r="R12" s="295">
        <f t="shared" ca="1" si="13"/>
        <v>1</v>
      </c>
      <c r="S12" s="296">
        <f t="shared" ca="1" si="14"/>
        <v>0.1</v>
      </c>
      <c r="T12" s="318"/>
      <c r="U12" s="295">
        <f t="shared" ca="1" si="15"/>
        <v>0</v>
      </c>
      <c r="V12" s="296" t="str">
        <f t="shared" ca="1" si="16"/>
        <v/>
      </c>
      <c r="W12" s="318"/>
      <c r="X12" s="256" t="s">
        <v>467</v>
      </c>
      <c r="Y12" s="256">
        <v>17</v>
      </c>
      <c r="Z12" s="256">
        <v>1</v>
      </c>
      <c r="AA12" s="255">
        <f t="shared" ca="1" si="17"/>
        <v>4</v>
      </c>
      <c r="AE12" s="254"/>
      <c r="AF12" s="236">
        <f t="shared" si="2"/>
        <v>1</v>
      </c>
      <c r="AG12" s="236" t="str">
        <f t="shared" ca="1" si="3"/>
        <v/>
      </c>
      <c r="AH12" s="236" t="str">
        <f t="shared" ca="1" si="18"/>
        <v/>
      </c>
      <c r="AJ12" s="236">
        <f t="shared" ca="1" si="19"/>
        <v>12</v>
      </c>
      <c r="AK12" s="236" t="str">
        <f t="shared" ca="1" si="20"/>
        <v>A-</v>
      </c>
      <c r="AL12" s="236">
        <f t="shared" ca="1" si="20"/>
        <v>20</v>
      </c>
      <c r="AM12" s="236" t="str">
        <f t="shared" ca="1" si="4"/>
        <v/>
      </c>
      <c r="AQ12" s="286" t="s">
        <v>55</v>
      </c>
      <c r="AR12" s="286" t="s">
        <v>28</v>
      </c>
      <c r="AS12" s="286">
        <v>18</v>
      </c>
      <c r="AT12" s="286" t="s">
        <v>277</v>
      </c>
      <c r="AV12" s="234">
        <f t="shared" si="21"/>
        <v>32</v>
      </c>
      <c r="AW12" s="234">
        <f>COUNTIF( AV$7:AV12, AV12 )</f>
        <v>1</v>
      </c>
      <c r="AX12" s="287">
        <f t="shared" si="22"/>
        <v>32.1</v>
      </c>
      <c r="AY12" s="234">
        <f t="shared" si="23"/>
        <v>32</v>
      </c>
      <c r="AZ12" s="236"/>
      <c r="BA12" s="236"/>
      <c r="BC12" s="234">
        <f t="shared" ca="1" si="24"/>
        <v>6</v>
      </c>
      <c r="BD12" s="288">
        <f t="shared" ca="1" si="6"/>
        <v>16</v>
      </c>
      <c r="BF12" s="240" t="str">
        <f t="shared" ca="1" si="7"/>
        <v>Duke Energy Corporation</v>
      </c>
      <c r="BG12" s="240" t="str">
        <f t="shared" ca="1" si="7"/>
        <v>A-</v>
      </c>
      <c r="BH12" s="240">
        <f t="shared" ca="1" si="7"/>
        <v>20</v>
      </c>
      <c r="BI12" s="240" t="str">
        <f t="shared" ca="1" si="7"/>
        <v>DUK</v>
      </c>
    </row>
    <row r="13" spans="1:61" ht="13.8" x14ac:dyDescent="0.25">
      <c r="A13" s="303" t="s">
        <v>565</v>
      </c>
      <c r="B13" s="304" t="s">
        <v>10</v>
      </c>
      <c r="C13" s="304">
        <v>20</v>
      </c>
      <c r="D13" s="304" t="s">
        <v>566</v>
      </c>
      <c r="E13" s="305" t="str">
        <f t="shared" ca="1" si="8"/>
        <v>R</v>
      </c>
      <c r="F13" s="306"/>
      <c r="G13" s="307">
        <f t="shared" ca="1" si="1"/>
        <v>23</v>
      </c>
      <c r="H13" s="250"/>
      <c r="I13" s="319"/>
      <c r="J13" s="297" t="s">
        <v>79</v>
      </c>
      <c r="K13" s="319"/>
      <c r="L13" s="297">
        <f t="shared" si="9"/>
        <v>1</v>
      </c>
      <c r="M13" s="298">
        <f t="shared" si="10"/>
        <v>2.2222222222222223E-2</v>
      </c>
      <c r="N13" s="319"/>
      <c r="O13" s="297">
        <f t="shared" ca="1" si="11"/>
        <v>1</v>
      </c>
      <c r="P13" s="298">
        <f t="shared" ca="1" si="12"/>
        <v>2.8571428571428571E-2</v>
      </c>
      <c r="Q13" s="319"/>
      <c r="R13" s="297">
        <f t="shared" ca="1" si="13"/>
        <v>0</v>
      </c>
      <c r="S13" s="298" t="str">
        <f t="shared" ca="1" si="14"/>
        <v/>
      </c>
      <c r="T13" s="319"/>
      <c r="U13" s="297">
        <f t="shared" ca="1" si="15"/>
        <v>0</v>
      </c>
      <c r="V13" s="298" t="str">
        <f t="shared" ca="1" si="16"/>
        <v/>
      </c>
      <c r="W13" s="319"/>
      <c r="X13" s="256" t="s">
        <v>468</v>
      </c>
      <c r="Y13" s="256">
        <v>16</v>
      </c>
      <c r="Z13" s="256">
        <v>1</v>
      </c>
      <c r="AA13" s="259">
        <f t="shared" ca="1" si="17"/>
        <v>1</v>
      </c>
      <c r="AE13" s="254"/>
      <c r="AF13" s="236">
        <f t="shared" si="2"/>
        <v>1</v>
      </c>
      <c r="AG13" s="236" t="str">
        <f t="shared" ca="1" si="3"/>
        <v/>
      </c>
      <c r="AH13" s="236" t="str">
        <f t="shared" ca="1" si="18"/>
        <v/>
      </c>
      <c r="AJ13" s="236">
        <f t="shared" ca="1" si="19"/>
        <v>13</v>
      </c>
      <c r="AK13" s="236" t="str">
        <f t="shared" ca="1" si="20"/>
        <v>A-</v>
      </c>
      <c r="AL13" s="236">
        <f t="shared" ca="1" si="20"/>
        <v>20</v>
      </c>
      <c r="AM13" s="236" t="str">
        <f t="shared" ca="1" si="4"/>
        <v/>
      </c>
      <c r="AQ13" s="286" t="s">
        <v>500</v>
      </c>
      <c r="AR13" s="286" t="s">
        <v>2</v>
      </c>
      <c r="AS13" s="286">
        <v>21</v>
      </c>
      <c r="AT13" s="286" t="s">
        <v>446</v>
      </c>
      <c r="AV13" s="234">
        <f t="shared" si="21"/>
        <v>2</v>
      </c>
      <c r="AW13" s="234">
        <f>COUNTIF( AV$7:AV13, AV13 )</f>
        <v>1</v>
      </c>
      <c r="AX13" s="287">
        <f t="shared" si="22"/>
        <v>2.1</v>
      </c>
      <c r="AY13" s="234">
        <f t="shared" si="23"/>
        <v>2</v>
      </c>
      <c r="AZ13" s="236"/>
      <c r="BA13" s="236"/>
      <c r="BC13" s="234">
        <f t="shared" ca="1" si="24"/>
        <v>7</v>
      </c>
      <c r="BD13" s="288">
        <f t="shared" ca="1" si="6"/>
        <v>20</v>
      </c>
      <c r="BF13" s="240" t="str">
        <f t="shared" ca="1" si="7"/>
        <v>Evergy, Inc.</v>
      </c>
      <c r="BG13" s="240" t="str">
        <f t="shared" ca="1" si="7"/>
        <v>A-</v>
      </c>
      <c r="BH13" s="240">
        <f t="shared" ca="1" si="7"/>
        <v>20</v>
      </c>
      <c r="BI13" s="240" t="str">
        <f t="shared" ca="1" si="7"/>
        <v>EVRG</v>
      </c>
    </row>
    <row r="14" spans="1:61" ht="13.8" x14ac:dyDescent="0.25">
      <c r="A14" s="303" t="s">
        <v>369</v>
      </c>
      <c r="B14" s="304" t="s">
        <v>10</v>
      </c>
      <c r="C14" s="304">
        <v>20</v>
      </c>
      <c r="D14" s="304" t="s">
        <v>368</v>
      </c>
      <c r="E14" s="305" t="str">
        <f t="shared" ca="1" si="8"/>
        <v>MR</v>
      </c>
      <c r="F14" s="306"/>
      <c r="G14" s="307">
        <f t="shared" ca="1" si="1"/>
        <v>31</v>
      </c>
      <c r="H14" s="250"/>
      <c r="I14" s="320"/>
      <c r="J14" s="291" t="s">
        <v>80</v>
      </c>
      <c r="K14" s="320"/>
      <c r="L14" s="291">
        <f>SUM(L8:L13)</f>
        <v>45</v>
      </c>
      <c r="M14" s="292">
        <f>L14/L$14</f>
        <v>1</v>
      </c>
      <c r="N14" s="320"/>
      <c r="O14" s="291">
        <f ca="1">SUM(O8:O13)</f>
        <v>35</v>
      </c>
      <c r="P14" s="292">
        <f ca="1">O14/O$14</f>
        <v>1</v>
      </c>
      <c r="Q14" s="320"/>
      <c r="R14" s="291">
        <f ca="1">SUM(R8:R13)</f>
        <v>10</v>
      </c>
      <c r="S14" s="292">
        <f ca="1">R14/R$14</f>
        <v>1</v>
      </c>
      <c r="T14" s="320"/>
      <c r="U14" s="291">
        <f ca="1">SUM(U8:U13)</f>
        <v>0</v>
      </c>
      <c r="V14" s="292" t="e">
        <f ca="1">U14/U$14</f>
        <v>#DIV/0!</v>
      </c>
      <c r="W14" s="320"/>
      <c r="Y14" s="261">
        <f>SUMPRODUCT( L8:L13, Y8:Y13 ) / L14</f>
        <v>18.955555555555556</v>
      </c>
      <c r="Z14" s="261"/>
      <c r="AA14" s="484">
        <f ca="1">SUM(AA8:AA13)</f>
        <v>45</v>
      </c>
      <c r="AE14" s="254"/>
      <c r="AF14" s="236">
        <f t="shared" si="2"/>
        <v>1</v>
      </c>
      <c r="AG14" s="236" t="str">
        <f t="shared" ca="1" si="3"/>
        <v/>
      </c>
      <c r="AH14" s="236" t="str">
        <f t="shared" ca="1" si="18"/>
        <v/>
      </c>
      <c r="AJ14" s="236">
        <f t="shared" ca="1" si="19"/>
        <v>14</v>
      </c>
      <c r="AK14" s="236" t="str">
        <f t="shared" ca="1" si="20"/>
        <v>A-</v>
      </c>
      <c r="AL14" s="236">
        <f t="shared" ca="1" si="20"/>
        <v>20</v>
      </c>
      <c r="AM14" s="236" t="str">
        <f t="shared" ca="1" si="4"/>
        <v/>
      </c>
      <c r="AQ14" s="286" t="s">
        <v>48</v>
      </c>
      <c r="AR14" s="286" t="s">
        <v>16</v>
      </c>
      <c r="AS14" s="286">
        <v>19</v>
      </c>
      <c r="AT14" s="286" t="s">
        <v>279</v>
      </c>
      <c r="AV14" s="234">
        <f>IF( LEN( AS14 ) = 0, 99, RANK( AS14, $AS$7:$AS$63 ) )</f>
        <v>14</v>
      </c>
      <c r="AW14" s="234">
        <f>COUNTIF( AV$7:AV14, AV14 )</f>
        <v>4</v>
      </c>
      <c r="AX14" s="287">
        <f t="shared" si="22"/>
        <v>14.4</v>
      </c>
      <c r="AY14" s="234">
        <f t="shared" si="23"/>
        <v>17</v>
      </c>
      <c r="AZ14" s="236"/>
      <c r="BA14" s="236"/>
      <c r="BC14" s="234">
        <f t="shared" ca="1" si="24"/>
        <v>8</v>
      </c>
      <c r="BD14" s="288">
        <f t="shared" ca="1" si="6"/>
        <v>28</v>
      </c>
      <c r="BF14" s="240" t="str">
        <f t="shared" ca="1" si="7"/>
        <v>NextEra Energy, Inc.</v>
      </c>
      <c r="BG14" s="240" t="str">
        <f t="shared" ca="1" si="7"/>
        <v>A-</v>
      </c>
      <c r="BH14" s="240">
        <f t="shared" ca="1" si="7"/>
        <v>20</v>
      </c>
      <c r="BI14" s="240" t="str">
        <f t="shared" ca="1" si="7"/>
        <v>NEE</v>
      </c>
    </row>
    <row r="15" spans="1:61" ht="13.8" x14ac:dyDescent="0.25">
      <c r="A15" s="303" t="s">
        <v>41</v>
      </c>
      <c r="B15" s="304" t="s">
        <v>10</v>
      </c>
      <c r="C15" s="304">
        <v>20</v>
      </c>
      <c r="D15" s="304" t="s">
        <v>321</v>
      </c>
      <c r="E15" s="305" t="str">
        <f t="shared" ca="1" si="8"/>
        <v>R</v>
      </c>
      <c r="F15" s="306"/>
      <c r="G15" s="307">
        <f t="shared" ca="1" si="1"/>
        <v>37</v>
      </c>
      <c r="H15" s="250"/>
      <c r="I15" s="321"/>
      <c r="K15" s="321"/>
      <c r="N15" s="321"/>
      <c r="Q15" s="321"/>
      <c r="T15" s="321"/>
      <c r="W15" s="321"/>
      <c r="X15" s="240"/>
      <c r="AA15" s="240"/>
      <c r="AE15" s="254"/>
      <c r="AF15" s="236">
        <f t="shared" si="2"/>
        <v>1</v>
      </c>
      <c r="AG15" s="236" t="str">
        <f t="shared" ca="1" si="3"/>
        <v/>
      </c>
      <c r="AH15" s="236" t="str">
        <f t="shared" ca="1" si="18"/>
        <v/>
      </c>
      <c r="AJ15" s="236">
        <f t="shared" ca="1" si="19"/>
        <v>15</v>
      </c>
      <c r="AK15" s="236" t="str">
        <f t="shared" ca="1" si="20"/>
        <v>A-</v>
      </c>
      <c r="AL15" s="236">
        <f t="shared" ca="1" si="20"/>
        <v>20</v>
      </c>
      <c r="AM15" s="236" t="str">
        <f t="shared" ca="1" si="4"/>
        <v/>
      </c>
      <c r="AQ15" s="286" t="s">
        <v>29</v>
      </c>
      <c r="AR15" s="286" t="s">
        <v>16</v>
      </c>
      <c r="AS15" s="286">
        <v>19</v>
      </c>
      <c r="AT15" s="286" t="s">
        <v>285</v>
      </c>
      <c r="AV15" s="234">
        <f t="shared" si="21"/>
        <v>14</v>
      </c>
      <c r="AW15" s="234">
        <f>COUNTIF( AV$7:AV15, AV15 )</f>
        <v>5</v>
      </c>
      <c r="AX15" s="287">
        <f t="shared" si="22"/>
        <v>14.5</v>
      </c>
      <c r="AY15" s="234">
        <f t="shared" si="23"/>
        <v>18</v>
      </c>
      <c r="AZ15" s="236"/>
      <c r="BA15" s="236"/>
      <c r="BC15" s="234">
        <f t="shared" ca="1" si="24"/>
        <v>9</v>
      </c>
      <c r="BD15" s="288">
        <f t="shared" ca="1" si="6"/>
        <v>34</v>
      </c>
      <c r="BF15" s="240" t="str">
        <f t="shared" ca="1" si="7"/>
        <v>Pinnacle West Capital Corporation</v>
      </c>
      <c r="BG15" s="240" t="str">
        <f t="shared" ca="1" si="7"/>
        <v>A-</v>
      </c>
      <c r="BH15" s="240">
        <f t="shared" ca="1" si="7"/>
        <v>20</v>
      </c>
      <c r="BI15" s="240" t="str">
        <f t="shared" ca="1" si="7"/>
        <v>PNW</v>
      </c>
    </row>
    <row r="16" spans="1:61" ht="13.8" x14ac:dyDescent="0.25">
      <c r="A16" s="303" t="s">
        <v>43</v>
      </c>
      <c r="B16" s="304" t="s">
        <v>10</v>
      </c>
      <c r="C16" s="304">
        <v>20</v>
      </c>
      <c r="D16" s="304" t="s">
        <v>324</v>
      </c>
      <c r="E16" s="305" t="str">
        <f t="shared" ca="1" si="8"/>
        <v>R</v>
      </c>
      <c r="F16" s="306"/>
      <c r="G16" s="307">
        <f t="shared" ca="1" si="1"/>
        <v>40</v>
      </c>
      <c r="H16" s="250"/>
      <c r="I16" s="316"/>
      <c r="J16" s="290" t="s">
        <v>449</v>
      </c>
      <c r="K16" s="316"/>
      <c r="L16" s="500">
        <f t="array" ref="L16">SUM( IF( LEN( $C$7:$C$65 ) = 0, 0, $C$7:$C$65 ) ) / SUM( IF( LEN( $C$7:$C$65 ) = 0, 0, 1  ) )</f>
        <v>18.733333333333334</v>
      </c>
      <c r="M16" s="501"/>
      <c r="N16" s="316"/>
      <c r="O16" s="500">
        <f t="array" aca="1" ref="O16" ca="1">SUM( IF( LEN( $C$7:$C$65 ) = 0, 0, IF( $E$7:$E$65 = O3, $C$7:$C$65, 0 ) ) ) / SUM( IF( LEN( $C$7:$C$65 ) = 0, 0, IF( $E$7:$E$65 = O3, 1, 0 ) ) )</f>
        <v>18.62857142857143</v>
      </c>
      <c r="P16" s="501"/>
      <c r="Q16" s="316"/>
      <c r="R16" s="500">
        <f t="array" aca="1" ref="R16" ca="1">SUM( IF( LEN( $C$7:$C$65 ) = 0, 0, IF( $E$7:$E$65 = R3, $C$7:$C$65, 0 ) ) ) / SUM( IF( LEN( $C$7:$C$65 ) = 0, 0, IF( $E$7:$E$65 = R3, 1, 0 ) ) )</f>
        <v>19.100000000000001</v>
      </c>
      <c r="S16" s="501"/>
      <c r="T16" s="316"/>
      <c r="U16" s="500" t="e">
        <f t="array" aca="1" ref="U16" ca="1">SUM( IF( LEN( $C$7:$C$65 ) = 0, 0, IF( $E$7:$E$65 = U3, $C$7:$C$65, 0 ) ) ) / SUM( IF( LEN( $C$7:$C$65 ) = 0, 0, IF( $E$7:$E$65 = U3, 1, 0 ) ) )</f>
        <v>#DIV/0!</v>
      </c>
      <c r="V16" s="502"/>
      <c r="W16" s="316"/>
      <c r="AE16" s="254"/>
      <c r="AF16" s="236">
        <f t="shared" si="2"/>
        <v>1</v>
      </c>
      <c r="AG16" s="236" t="str">
        <f t="shared" ca="1" si="3"/>
        <v/>
      </c>
      <c r="AH16" s="236" t="str">
        <f t="shared" ca="1" si="18"/>
        <v/>
      </c>
      <c r="AJ16" s="236">
        <f t="shared" ca="1" si="19"/>
        <v>16</v>
      </c>
      <c r="AK16" s="236" t="str">
        <f t="shared" ca="1" si="20"/>
        <v>A-</v>
      </c>
      <c r="AL16" s="236">
        <f t="shared" ca="1" si="20"/>
        <v>20</v>
      </c>
      <c r="AM16" s="236" t="str">
        <f t="shared" ca="1" si="4"/>
        <v/>
      </c>
      <c r="AQ16" s="286" t="s">
        <v>30</v>
      </c>
      <c r="AR16" s="286" t="s">
        <v>49</v>
      </c>
      <c r="AS16" s="286">
        <v>17</v>
      </c>
      <c r="AT16" s="286" t="s">
        <v>540</v>
      </c>
      <c r="AV16" s="234">
        <f t="shared" si="21"/>
        <v>40</v>
      </c>
      <c r="AW16" s="234">
        <f>COUNTIF( AV$7:AV16, AV16 )</f>
        <v>1</v>
      </c>
      <c r="AX16" s="287">
        <f t="shared" si="22"/>
        <v>40.1</v>
      </c>
      <c r="AY16" s="234">
        <f t="shared" si="23"/>
        <v>40</v>
      </c>
      <c r="AZ16" s="236"/>
      <c r="BA16" s="236"/>
      <c r="BC16" s="234">
        <f t="shared" ca="1" si="24"/>
        <v>10</v>
      </c>
      <c r="BD16" s="288">
        <f t="shared" ca="1" si="6"/>
        <v>37</v>
      </c>
      <c r="BF16" s="240" t="str">
        <f t="shared" ca="1" si="7"/>
        <v>PPL Corporation</v>
      </c>
      <c r="BG16" s="240" t="str">
        <f t="shared" ca="1" si="7"/>
        <v>A-</v>
      </c>
      <c r="BH16" s="240">
        <f t="shared" ca="1" si="7"/>
        <v>20</v>
      </c>
      <c r="BI16" s="240" t="str">
        <f t="shared" ca="1" si="7"/>
        <v>PPL</v>
      </c>
    </row>
    <row r="17" spans="1:61" ht="13.8" x14ac:dyDescent="0.25">
      <c r="A17" s="303" t="s">
        <v>7</v>
      </c>
      <c r="B17" s="304" t="s">
        <v>10</v>
      </c>
      <c r="C17" s="304">
        <v>20</v>
      </c>
      <c r="D17" s="304" t="s">
        <v>327</v>
      </c>
      <c r="E17" s="305" t="str">
        <f t="shared" ca="1" si="8"/>
        <v>R</v>
      </c>
      <c r="F17" s="306"/>
      <c r="G17" s="307">
        <f t="shared" ca="1" si="1"/>
        <v>43</v>
      </c>
      <c r="H17" s="250"/>
      <c r="I17" s="321"/>
      <c r="K17" s="321"/>
      <c r="N17" s="321"/>
      <c r="O17" s="240"/>
      <c r="Q17" s="321"/>
      <c r="T17" s="321"/>
      <c r="W17" s="321"/>
      <c r="AE17" s="245"/>
      <c r="AF17" s="236">
        <f t="shared" si="2"/>
        <v>1</v>
      </c>
      <c r="AG17" s="236" t="str">
        <f t="shared" ca="1" si="3"/>
        <v/>
      </c>
      <c r="AH17" s="236" t="str">
        <f t="shared" ca="1" si="18"/>
        <v/>
      </c>
      <c r="AJ17" s="236">
        <f t="shared" ca="1" si="19"/>
        <v>17</v>
      </c>
      <c r="AK17" s="236" t="str">
        <f t="shared" ca="1" si="20"/>
        <v>A-</v>
      </c>
      <c r="AL17" s="236">
        <f t="shared" ca="1" si="20"/>
        <v>20</v>
      </c>
      <c r="AM17" s="236" t="str">
        <f t="shared" ca="1" si="4"/>
        <v/>
      </c>
      <c r="AQ17" s="286" t="s">
        <v>60</v>
      </c>
      <c r="AR17" s="286" t="s">
        <v>16</v>
      </c>
      <c r="AS17" s="286">
        <v>19</v>
      </c>
      <c r="AT17" s="286" t="s">
        <v>283</v>
      </c>
      <c r="AV17" s="234">
        <f t="shared" si="21"/>
        <v>14</v>
      </c>
      <c r="AW17" s="234">
        <f>COUNTIF( AV$7:AV17, AV17 )</f>
        <v>6</v>
      </c>
      <c r="AX17" s="287">
        <f t="shared" si="22"/>
        <v>14.6</v>
      </c>
      <c r="AY17" s="234">
        <f t="shared" si="23"/>
        <v>19</v>
      </c>
      <c r="AZ17" s="236"/>
      <c r="BA17" s="236"/>
      <c r="BC17" s="234">
        <f t="shared" ca="1" si="24"/>
        <v>11</v>
      </c>
      <c r="BD17" s="288">
        <f t="shared" ca="1" si="6"/>
        <v>41</v>
      </c>
      <c r="BF17" s="240" t="str">
        <f t="shared" ca="1" si="7"/>
        <v>Southern Company</v>
      </c>
      <c r="BG17" s="240" t="str">
        <f t="shared" ca="1" si="7"/>
        <v>A-</v>
      </c>
      <c r="BH17" s="240">
        <f t="shared" ca="1" si="7"/>
        <v>20</v>
      </c>
      <c r="BI17" s="240" t="str">
        <f t="shared" ca="1" si="7"/>
        <v>SO</v>
      </c>
    </row>
    <row r="18" spans="1:61" ht="13.8" x14ac:dyDescent="0.25">
      <c r="A18" s="303" t="s">
        <v>26</v>
      </c>
      <c r="B18" s="304" t="s">
        <v>10</v>
      </c>
      <c r="C18" s="304">
        <v>20</v>
      </c>
      <c r="D18" s="304" t="s">
        <v>335</v>
      </c>
      <c r="E18" s="305" t="str">
        <f t="shared" ca="1" si="8"/>
        <v>R</v>
      </c>
      <c r="F18" s="306"/>
      <c r="G18" s="307">
        <f t="shared" ca="1" si="1"/>
        <v>45</v>
      </c>
      <c r="H18" s="250"/>
      <c r="I18" s="321"/>
      <c r="K18" s="321"/>
      <c r="N18" s="321"/>
      <c r="O18" s="240"/>
      <c r="Q18" s="321"/>
      <c r="T18" s="321"/>
      <c r="W18" s="321"/>
      <c r="AE18" s="254"/>
      <c r="AF18" s="236">
        <f t="shared" si="2"/>
        <v>1</v>
      </c>
      <c r="AG18" s="236" t="str">
        <f t="shared" ca="1" si="3"/>
        <v/>
      </c>
      <c r="AH18" s="236" t="str">
        <f t="shared" ca="1" si="18"/>
        <v/>
      </c>
      <c r="AJ18" s="236">
        <f t="shared" ca="1" si="19"/>
        <v>18</v>
      </c>
      <c r="AK18" s="236" t="str">
        <f t="shared" ca="1" si="20"/>
        <v>A-</v>
      </c>
      <c r="AL18" s="236">
        <f t="shared" ca="1" si="20"/>
        <v>20</v>
      </c>
      <c r="AM18" s="236" t="str">
        <f t="shared" ca="1" si="4"/>
        <v/>
      </c>
      <c r="AQ18" s="286" t="s">
        <v>3</v>
      </c>
      <c r="AR18" s="286" t="s">
        <v>10</v>
      </c>
      <c r="AS18" s="286">
        <v>20</v>
      </c>
      <c r="AT18" s="286" t="s">
        <v>291</v>
      </c>
      <c r="AV18" s="234">
        <f t="shared" si="21"/>
        <v>3</v>
      </c>
      <c r="AW18" s="234">
        <f>COUNTIF( AV$7:AV18, AV18 )</f>
        <v>3</v>
      </c>
      <c r="AX18" s="287">
        <f t="shared" si="22"/>
        <v>3.3</v>
      </c>
      <c r="AY18" s="234">
        <f t="shared" si="23"/>
        <v>5</v>
      </c>
      <c r="AZ18" s="236"/>
      <c r="BA18" s="236"/>
      <c r="BC18" s="234">
        <f t="shared" ca="1" si="24"/>
        <v>12</v>
      </c>
      <c r="BD18" s="288">
        <f t="shared" ca="1" si="6"/>
        <v>43</v>
      </c>
      <c r="BF18" s="240" t="str">
        <f t="shared" ca="1" si="7"/>
        <v>Wisconsin Energy Corporation</v>
      </c>
      <c r="BG18" s="240" t="str">
        <f t="shared" ca="1" si="7"/>
        <v>A-</v>
      </c>
      <c r="BH18" s="240">
        <f t="shared" ca="1" si="7"/>
        <v>20</v>
      </c>
      <c r="BI18" s="240" t="str">
        <f t="shared" ca="1" si="7"/>
        <v>WEC</v>
      </c>
    </row>
    <row r="19" spans="1:61" ht="13.8" x14ac:dyDescent="0.25">
      <c r="A19" s="303" t="s">
        <v>257</v>
      </c>
      <c r="B19" s="304" t="s">
        <v>10</v>
      </c>
      <c r="C19" s="304">
        <v>20</v>
      </c>
      <c r="D19" s="304" t="s">
        <v>337</v>
      </c>
      <c r="E19" s="305" t="str">
        <f t="shared" ca="1" si="8"/>
        <v>R</v>
      </c>
      <c r="F19" s="306"/>
      <c r="G19" s="307">
        <f t="shared" ca="1" si="1"/>
        <v>46</v>
      </c>
      <c r="H19" s="250"/>
      <c r="I19" s="321"/>
      <c r="K19" s="321"/>
      <c r="N19" s="321"/>
      <c r="O19" s="240"/>
      <c r="Q19" s="321"/>
      <c r="T19" s="321"/>
      <c r="W19" s="321"/>
      <c r="AE19" s="254"/>
      <c r="AF19" s="236">
        <f t="shared" si="2"/>
        <v>1</v>
      </c>
      <c r="AG19" s="236" t="str">
        <f t="shared" ca="1" si="3"/>
        <v/>
      </c>
      <c r="AH19" s="236" t="str">
        <f t="shared" ca="1" si="18"/>
        <v/>
      </c>
      <c r="AJ19" s="236">
        <f t="shared" ca="1" si="19"/>
        <v>19</v>
      </c>
      <c r="AK19" s="236" t="str">
        <f t="shared" ca="1" si="20"/>
        <v>A-</v>
      </c>
      <c r="AL19" s="236">
        <f t="shared" ca="1" si="20"/>
        <v>20</v>
      </c>
      <c r="AM19" s="236" t="str">
        <f t="shared" ca="1" si="4"/>
        <v/>
      </c>
      <c r="AQ19" s="286" t="s">
        <v>561</v>
      </c>
      <c r="AR19" s="286" t="s">
        <v>16</v>
      </c>
      <c r="AS19" s="286">
        <v>19</v>
      </c>
      <c r="AT19" s="286" t="s">
        <v>86</v>
      </c>
      <c r="AV19" s="234">
        <f t="shared" si="21"/>
        <v>14</v>
      </c>
      <c r="AW19" s="234">
        <f>COUNTIF( AV$7:AV19, AV19 )</f>
        <v>7</v>
      </c>
      <c r="AX19" s="287">
        <f t="shared" si="22"/>
        <v>14.7</v>
      </c>
      <c r="AY19" s="234">
        <f t="shared" si="23"/>
        <v>20</v>
      </c>
      <c r="AZ19" s="236"/>
      <c r="BA19" s="236"/>
      <c r="BC19" s="234">
        <f t="shared" ca="1" si="24"/>
        <v>13</v>
      </c>
      <c r="BD19" s="288">
        <f t="shared" ca="1" si="6"/>
        <v>44</v>
      </c>
      <c r="BF19" s="240" t="str">
        <f t="shared" ca="1" si="7"/>
        <v>Xcel Energy Inc.</v>
      </c>
      <c r="BG19" s="240" t="str">
        <f t="shared" ca="1" si="7"/>
        <v>A-</v>
      </c>
      <c r="BH19" s="240">
        <f t="shared" ca="1" si="7"/>
        <v>20</v>
      </c>
      <c r="BI19" s="240" t="str">
        <f t="shared" ca="1" si="7"/>
        <v>XEL</v>
      </c>
    </row>
    <row r="20" spans="1:61" ht="13.8" x14ac:dyDescent="0.25">
      <c r="A20" s="303" t="s">
        <v>15</v>
      </c>
      <c r="B20" s="304" t="s">
        <v>16</v>
      </c>
      <c r="C20" s="304">
        <v>19</v>
      </c>
      <c r="D20" s="304" t="s">
        <v>276</v>
      </c>
      <c r="E20" s="305" t="str">
        <f t="shared" ca="1" si="8"/>
        <v>MR</v>
      </c>
      <c r="F20" s="306"/>
      <c r="G20" s="307">
        <f t="shared" ca="1" si="1"/>
        <v>7</v>
      </c>
      <c r="H20" s="250"/>
      <c r="I20" s="322"/>
      <c r="K20" s="322"/>
      <c r="N20" s="322"/>
      <c r="O20" s="240"/>
      <c r="Q20" s="322"/>
      <c r="T20" s="322"/>
      <c r="W20" s="322"/>
      <c r="AE20" s="254"/>
      <c r="AF20" s="236">
        <f t="shared" si="2"/>
        <v>0</v>
      </c>
      <c r="AG20" s="236" t="str">
        <f t="shared" ca="1" si="3"/>
        <v/>
      </c>
      <c r="AH20" s="236" t="str">
        <f t="shared" ca="1" si="18"/>
        <v/>
      </c>
      <c r="AJ20" s="236">
        <f t="shared" ca="1" si="19"/>
        <v>20</v>
      </c>
      <c r="AK20" s="236" t="str">
        <f t="shared" ca="1" si="20"/>
        <v>BBB+</v>
      </c>
      <c r="AL20" s="236">
        <f t="shared" ca="1" si="20"/>
        <v>19</v>
      </c>
      <c r="AM20" s="236" t="str">
        <f t="shared" ca="1" si="4"/>
        <v/>
      </c>
      <c r="AQ20" s="286" t="s">
        <v>64</v>
      </c>
      <c r="AR20" s="286" t="s">
        <v>49</v>
      </c>
      <c r="AS20" s="286">
        <v>17</v>
      </c>
      <c r="AT20" s="286" t="s">
        <v>442</v>
      </c>
      <c r="AV20" s="234">
        <f t="shared" si="21"/>
        <v>40</v>
      </c>
      <c r="AW20" s="234">
        <f>COUNTIF( AV$7:AV20, AV20 )</f>
        <v>2</v>
      </c>
      <c r="AX20" s="287">
        <f t="shared" si="22"/>
        <v>40.200000000000003</v>
      </c>
      <c r="AY20" s="234">
        <f t="shared" si="23"/>
        <v>41</v>
      </c>
      <c r="AZ20" s="236"/>
      <c r="BA20" s="236"/>
      <c r="BC20" s="234">
        <f t="shared" ca="1" si="24"/>
        <v>14</v>
      </c>
      <c r="BD20" s="288">
        <f t="shared" ca="1" si="6"/>
        <v>1</v>
      </c>
      <c r="BF20" s="240" t="str">
        <f t="shared" ca="1" si="7"/>
        <v>ALLETE, Inc.</v>
      </c>
      <c r="BG20" s="240" t="str">
        <f t="shared" ca="1" si="7"/>
        <v>BBB+</v>
      </c>
      <c r="BH20" s="240">
        <f t="shared" ca="1" si="7"/>
        <v>19</v>
      </c>
      <c r="BI20" s="240" t="str">
        <f t="shared" ca="1" si="7"/>
        <v>ALE</v>
      </c>
    </row>
    <row r="21" spans="1:61" ht="13.8" x14ac:dyDescent="0.25">
      <c r="A21" s="303" t="s">
        <v>9</v>
      </c>
      <c r="B21" s="304" t="s">
        <v>16</v>
      </c>
      <c r="C21" s="304">
        <v>19</v>
      </c>
      <c r="D21" s="304" t="s">
        <v>273</v>
      </c>
      <c r="E21" s="305" t="str">
        <f t="shared" ca="1" si="8"/>
        <v>R</v>
      </c>
      <c r="F21" s="306"/>
      <c r="G21" s="307">
        <f t="shared" ca="1" si="1"/>
        <v>9</v>
      </c>
      <c r="H21" s="250"/>
      <c r="I21" s="321"/>
      <c r="K21" s="321"/>
      <c r="N21" s="321"/>
      <c r="Q21" s="321"/>
      <c r="T21" s="321"/>
      <c r="W21" s="321"/>
      <c r="AE21" s="254"/>
      <c r="AF21" s="236">
        <f t="shared" si="2"/>
        <v>0</v>
      </c>
      <c r="AG21" s="236" t="str">
        <f t="shared" ca="1" si="3"/>
        <v/>
      </c>
      <c r="AH21" s="236" t="str">
        <f t="shared" ca="1" si="18"/>
        <v/>
      </c>
      <c r="AJ21" s="236">
        <f t="shared" ca="1" si="19"/>
        <v>21</v>
      </c>
      <c r="AK21" s="236" t="str">
        <f t="shared" ca="1" si="20"/>
        <v>BBB+</v>
      </c>
      <c r="AL21" s="236">
        <f t="shared" ca="1" si="20"/>
        <v>19</v>
      </c>
      <c r="AM21" s="236" t="str">
        <f t="shared" ca="1" si="4"/>
        <v/>
      </c>
      <c r="AQ21" s="286" t="s">
        <v>31</v>
      </c>
      <c r="AR21" s="286" t="s">
        <v>16</v>
      </c>
      <c r="AS21" s="286">
        <v>19</v>
      </c>
      <c r="AT21" s="286" t="s">
        <v>288</v>
      </c>
      <c r="AV21" s="234">
        <f t="shared" si="21"/>
        <v>14</v>
      </c>
      <c r="AW21" s="234">
        <f>COUNTIF( AV$7:AV21, AV21 )</f>
        <v>8</v>
      </c>
      <c r="AX21" s="287">
        <f t="shared" si="22"/>
        <v>14.8</v>
      </c>
      <c r="AY21" s="234">
        <f t="shared" si="23"/>
        <v>21</v>
      </c>
      <c r="AZ21" s="236"/>
      <c r="BA21" s="236"/>
      <c r="BC21" s="234">
        <f t="shared" ca="1" si="24"/>
        <v>15</v>
      </c>
      <c r="BD21" s="288">
        <f t="shared" ca="1" si="6"/>
        <v>3</v>
      </c>
      <c r="BF21" s="240" t="str">
        <f t="shared" ca="1" si="7"/>
        <v>Ameren Corporation</v>
      </c>
      <c r="BG21" s="240" t="str">
        <f t="shared" ca="1" si="7"/>
        <v>BBB+</v>
      </c>
      <c r="BH21" s="240">
        <f t="shared" ca="1" si="7"/>
        <v>19</v>
      </c>
      <c r="BI21" s="240" t="str">
        <f t="shared" ca="1" si="7"/>
        <v>AEE</v>
      </c>
    </row>
    <row r="22" spans="1:61" ht="13.8" x14ac:dyDescent="0.25">
      <c r="A22" s="303" t="s">
        <v>531</v>
      </c>
      <c r="B22" s="304" t="s">
        <v>16</v>
      </c>
      <c r="C22" s="304">
        <v>19</v>
      </c>
      <c r="D22" s="304" t="s">
        <v>529</v>
      </c>
      <c r="E22" s="305" t="str">
        <f t="shared" ca="1" si="8"/>
        <v>MR</v>
      </c>
      <c r="F22" s="306"/>
      <c r="G22" s="307">
        <f t="shared" ca="1" si="1"/>
        <v>11</v>
      </c>
      <c r="H22" s="250"/>
      <c r="I22" s="321"/>
      <c r="K22" s="321"/>
      <c r="N22" s="321"/>
      <c r="Q22" s="321"/>
      <c r="T22" s="321"/>
      <c r="W22" s="321"/>
      <c r="AE22" s="254"/>
      <c r="AF22" s="236">
        <f t="shared" si="2"/>
        <v>0</v>
      </c>
      <c r="AG22" s="236" t="str">
        <f t="shared" ca="1" si="3"/>
        <v/>
      </c>
      <c r="AH22" s="236" t="str">
        <f t="shared" ca="1" si="18"/>
        <v/>
      </c>
      <c r="AJ22" s="236">
        <f t="shared" ca="1" si="19"/>
        <v>22</v>
      </c>
      <c r="AK22" s="236" t="str">
        <f t="shared" ca="1" si="20"/>
        <v>BBB+</v>
      </c>
      <c r="AL22" s="236">
        <f t="shared" ca="1" si="20"/>
        <v>19</v>
      </c>
      <c r="AM22" s="236" t="str">
        <f t="shared" ca="1" si="4"/>
        <v/>
      </c>
      <c r="AQ22" s="286" t="s">
        <v>32</v>
      </c>
      <c r="AR22" s="286" t="s">
        <v>10</v>
      </c>
      <c r="AS22" s="286">
        <v>20</v>
      </c>
      <c r="AT22" s="286" t="s">
        <v>289</v>
      </c>
      <c r="AV22" s="234">
        <f t="shared" si="21"/>
        <v>3</v>
      </c>
      <c r="AW22" s="234">
        <f>COUNTIF( AV$7:AV22, AV22 )</f>
        <v>4</v>
      </c>
      <c r="AX22" s="287">
        <f t="shared" si="22"/>
        <v>3.4</v>
      </c>
      <c r="AY22" s="234">
        <f t="shared" si="23"/>
        <v>6</v>
      </c>
      <c r="AZ22" s="236"/>
      <c r="BA22" s="236"/>
      <c r="BC22" s="234">
        <f t="shared" ca="1" si="24"/>
        <v>16</v>
      </c>
      <c r="BD22" s="288">
        <f t="shared" ca="1" si="6"/>
        <v>5</v>
      </c>
      <c r="BF22" s="240" t="str">
        <f t="shared" ca="1" si="7"/>
        <v>AVANGRID, Inc.</v>
      </c>
      <c r="BG22" s="240" t="str">
        <f t="shared" ca="1" si="7"/>
        <v>BBB+</v>
      </c>
      <c r="BH22" s="240">
        <f t="shared" ca="1" si="7"/>
        <v>19</v>
      </c>
      <c r="BI22" s="240" t="str">
        <f t="shared" ca="1" si="7"/>
        <v>AGR</v>
      </c>
    </row>
    <row r="23" spans="1:61" ht="13.8" x14ac:dyDescent="0.25">
      <c r="A23" s="303" t="s">
        <v>48</v>
      </c>
      <c r="B23" s="304" t="s">
        <v>16</v>
      </c>
      <c r="C23" s="304">
        <v>19</v>
      </c>
      <c r="D23" s="304" t="s">
        <v>279</v>
      </c>
      <c r="E23" s="305" t="str">
        <f t="shared" ca="1" si="8"/>
        <v>R</v>
      </c>
      <c r="F23" s="306"/>
      <c r="G23" s="307">
        <f t="shared" ca="1" si="1"/>
        <v>13</v>
      </c>
      <c r="H23" s="250"/>
      <c r="I23" s="321"/>
      <c r="K23" s="321"/>
      <c r="N23" s="321"/>
      <c r="Q23" s="321"/>
      <c r="T23" s="321"/>
      <c r="W23" s="321"/>
      <c r="AE23" s="254"/>
      <c r="AF23" s="236">
        <f t="shared" si="2"/>
        <v>0</v>
      </c>
      <c r="AG23" s="236" t="str">
        <f t="shared" ca="1" si="3"/>
        <v/>
      </c>
      <c r="AH23" s="236" t="str">
        <f t="shared" ca="1" si="18"/>
        <v/>
      </c>
      <c r="AJ23" s="236">
        <f t="shared" ca="1" si="19"/>
        <v>23</v>
      </c>
      <c r="AK23" s="236" t="str">
        <f t="shared" ca="1" si="20"/>
        <v>BBB+</v>
      </c>
      <c r="AL23" s="236">
        <f t="shared" ca="1" si="20"/>
        <v>19</v>
      </c>
      <c r="AM23" s="236" t="str">
        <f t="shared" ca="1" si="4"/>
        <v/>
      </c>
      <c r="AQ23" s="286" t="s">
        <v>57</v>
      </c>
      <c r="AR23" s="286" t="s">
        <v>28</v>
      </c>
      <c r="AS23" s="286">
        <v>18</v>
      </c>
      <c r="AT23" s="286" t="s">
        <v>295</v>
      </c>
      <c r="AV23" s="234">
        <f t="shared" si="21"/>
        <v>32</v>
      </c>
      <c r="AW23" s="234">
        <f>COUNTIF( AV$7:AV23, AV23 )</f>
        <v>2</v>
      </c>
      <c r="AX23" s="287">
        <f t="shared" si="22"/>
        <v>32.200000000000003</v>
      </c>
      <c r="AY23" s="234">
        <f t="shared" si="23"/>
        <v>33</v>
      </c>
      <c r="AZ23" s="236"/>
      <c r="BA23" s="236"/>
      <c r="BC23" s="234">
        <f t="shared" ca="1" si="24"/>
        <v>17</v>
      </c>
      <c r="BD23" s="288">
        <f t="shared" ca="1" si="6"/>
        <v>8</v>
      </c>
      <c r="BF23" s="240" t="str">
        <f t="shared" ca="1" si="7"/>
        <v>Black Hills Corporation</v>
      </c>
      <c r="BG23" s="240" t="str">
        <f t="shared" ca="1" si="7"/>
        <v>BBB+</v>
      </c>
      <c r="BH23" s="240">
        <f t="shared" ca="1" si="7"/>
        <v>19</v>
      </c>
      <c r="BI23" s="240" t="str">
        <f t="shared" ca="1" si="7"/>
        <v>BKH</v>
      </c>
    </row>
    <row r="24" spans="1:61" ht="13.8" x14ac:dyDescent="0.25">
      <c r="A24" s="303" t="s">
        <v>29</v>
      </c>
      <c r="B24" s="304" t="s">
        <v>16</v>
      </c>
      <c r="C24" s="304">
        <v>19</v>
      </c>
      <c r="D24" s="304" t="s">
        <v>285</v>
      </c>
      <c r="E24" s="305" t="str">
        <f t="shared" ca="1" si="8"/>
        <v>MR</v>
      </c>
      <c r="F24" s="306"/>
      <c r="G24" s="307">
        <f t="shared" ca="1" si="1"/>
        <v>14</v>
      </c>
      <c r="H24" s="250"/>
      <c r="I24" s="321"/>
      <c r="J24" s="262"/>
      <c r="K24" s="321"/>
      <c r="N24" s="321"/>
      <c r="Q24" s="321"/>
      <c r="T24" s="321"/>
      <c r="W24" s="321"/>
      <c r="AE24" s="254"/>
      <c r="AF24" s="236">
        <f t="shared" si="2"/>
        <v>0</v>
      </c>
      <c r="AG24" s="236" t="str">
        <f t="shared" ca="1" si="3"/>
        <v/>
      </c>
      <c r="AH24" s="236" t="str">
        <f t="shared" ca="1" si="18"/>
        <v/>
      </c>
      <c r="AJ24" s="236">
        <f t="shared" ca="1" si="19"/>
        <v>24</v>
      </c>
      <c r="AK24" s="236" t="str">
        <f t="shared" ca="1" si="20"/>
        <v>BBB+</v>
      </c>
      <c r="AL24" s="236">
        <f t="shared" ca="1" si="20"/>
        <v>19</v>
      </c>
      <c r="AM24" s="236" t="str">
        <f t="shared" ca="1" si="4"/>
        <v/>
      </c>
      <c r="AQ24" s="286" t="s">
        <v>34</v>
      </c>
      <c r="AR24" s="286" t="s">
        <v>28</v>
      </c>
      <c r="AS24" s="286">
        <v>18</v>
      </c>
      <c r="AT24" s="286" t="s">
        <v>293</v>
      </c>
      <c r="AV24" s="234">
        <f t="shared" si="21"/>
        <v>32</v>
      </c>
      <c r="AW24" s="234">
        <f>COUNTIF( AV$7:AV24, AV24 )</f>
        <v>3</v>
      </c>
      <c r="AX24" s="287">
        <f t="shared" si="22"/>
        <v>32.299999999999997</v>
      </c>
      <c r="AY24" s="234">
        <f t="shared" si="23"/>
        <v>34</v>
      </c>
      <c r="AZ24" s="236"/>
      <c r="BA24" s="236"/>
      <c r="BC24" s="234">
        <f t="shared" ca="1" si="24"/>
        <v>18</v>
      </c>
      <c r="BD24" s="288">
        <f t="shared" ca="1" si="6"/>
        <v>9</v>
      </c>
      <c r="BF24" s="240" t="str">
        <f t="shared" ca="1" si="7"/>
        <v>CenterPoint Energy, Inc.</v>
      </c>
      <c r="BG24" s="240" t="str">
        <f t="shared" ca="1" si="7"/>
        <v>BBB+</v>
      </c>
      <c r="BH24" s="240">
        <f t="shared" ca="1" si="7"/>
        <v>19</v>
      </c>
      <c r="BI24" s="240" t="str">
        <f t="shared" ca="1" si="7"/>
        <v>CNP</v>
      </c>
    </row>
    <row r="25" spans="1:61" ht="13.8" x14ac:dyDescent="0.25">
      <c r="A25" s="303" t="s">
        <v>60</v>
      </c>
      <c r="B25" s="304" t="s">
        <v>16</v>
      </c>
      <c r="C25" s="304">
        <v>19</v>
      </c>
      <c r="D25" s="304" t="s">
        <v>283</v>
      </c>
      <c r="E25" s="305" t="str">
        <f t="shared" ca="1" si="8"/>
        <v>R</v>
      </c>
      <c r="F25" s="306"/>
      <c r="G25" s="307">
        <f t="shared" ca="1" si="1"/>
        <v>15</v>
      </c>
      <c r="H25" s="250"/>
      <c r="I25" s="321"/>
      <c r="J25" s="262"/>
      <c r="K25" s="321"/>
      <c r="N25" s="321"/>
      <c r="Q25" s="321"/>
      <c r="T25" s="321"/>
      <c r="W25" s="321"/>
      <c r="AE25" s="254"/>
      <c r="AF25" s="236">
        <f t="shared" si="2"/>
        <v>0</v>
      </c>
      <c r="AG25" s="236" t="str">
        <f t="shared" ca="1" si="3"/>
        <v/>
      </c>
      <c r="AH25" s="236" t="str">
        <f t="shared" ca="1" si="18"/>
        <v/>
      </c>
      <c r="AJ25" s="236">
        <f t="shared" ca="1" si="19"/>
        <v>25</v>
      </c>
      <c r="AK25" s="236" t="str">
        <f t="shared" ca="1" si="20"/>
        <v>BBB+</v>
      </c>
      <c r="AL25" s="236">
        <f t="shared" ca="1" si="20"/>
        <v>19</v>
      </c>
      <c r="AM25" s="236" t="str">
        <f t="shared" ca="1" si="4"/>
        <v/>
      </c>
      <c r="AQ25" s="286" t="s">
        <v>36</v>
      </c>
      <c r="AR25" s="286" t="s">
        <v>16</v>
      </c>
      <c r="AS25" s="286">
        <v>19</v>
      </c>
      <c r="AT25" s="286" t="s">
        <v>296</v>
      </c>
      <c r="AV25" s="234">
        <f t="shared" si="21"/>
        <v>14</v>
      </c>
      <c r="AW25" s="234">
        <f>COUNTIF( AV$7:AV25, AV25 )</f>
        <v>9</v>
      </c>
      <c r="AX25" s="287">
        <f t="shared" si="22"/>
        <v>14.9</v>
      </c>
      <c r="AY25" s="234">
        <f t="shared" si="23"/>
        <v>22</v>
      </c>
      <c r="AZ25" s="236"/>
      <c r="BA25" s="236"/>
      <c r="BC25" s="234">
        <f t="shared" ca="1" si="24"/>
        <v>19</v>
      </c>
      <c r="BD25" s="288">
        <f t="shared" ca="1" si="6"/>
        <v>11</v>
      </c>
      <c r="BF25" s="240" t="str">
        <f t="shared" ca="1" si="7"/>
        <v>CMS Energy Corporation</v>
      </c>
      <c r="BG25" s="240" t="str">
        <f t="shared" ca="1" si="7"/>
        <v>BBB+</v>
      </c>
      <c r="BH25" s="240">
        <f t="shared" ca="1" si="7"/>
        <v>19</v>
      </c>
      <c r="BI25" s="240" t="str">
        <f t="shared" ca="1" si="7"/>
        <v>CMS</v>
      </c>
    </row>
    <row r="26" spans="1:61" ht="13.8" x14ac:dyDescent="0.25">
      <c r="A26" s="303" t="s">
        <v>561</v>
      </c>
      <c r="B26" s="304" t="s">
        <v>16</v>
      </c>
      <c r="C26" s="304">
        <v>19</v>
      </c>
      <c r="D26" s="304" t="s">
        <v>86</v>
      </c>
      <c r="E26" s="305" t="str">
        <f t="shared" ca="1" si="8"/>
        <v>R</v>
      </c>
      <c r="F26" s="306"/>
      <c r="G26" s="307">
        <f t="shared" ca="1" si="1"/>
        <v>17</v>
      </c>
      <c r="H26" s="250"/>
      <c r="I26" s="321"/>
      <c r="J26" s="262"/>
      <c r="K26" s="321"/>
      <c r="N26" s="321"/>
      <c r="Q26" s="321"/>
      <c r="T26" s="321"/>
      <c r="W26" s="321"/>
      <c r="AE26" s="254"/>
      <c r="AF26" s="236">
        <f t="shared" si="2"/>
        <v>0</v>
      </c>
      <c r="AG26" s="236" t="str">
        <f t="shared" ca="1" si="3"/>
        <v/>
      </c>
      <c r="AH26" s="236" t="str">
        <f t="shared" ca="1" si="18"/>
        <v/>
      </c>
      <c r="AJ26" s="236">
        <f t="shared" ca="1" si="19"/>
        <v>26</v>
      </c>
      <c r="AK26" s="236" t="str">
        <f t="shared" ca="1" si="20"/>
        <v>BBB+</v>
      </c>
      <c r="AL26" s="236">
        <f t="shared" ca="1" si="20"/>
        <v>19</v>
      </c>
      <c r="AM26" s="236" t="str">
        <f t="shared" ca="1" si="4"/>
        <v/>
      </c>
      <c r="AQ26" s="286" t="s">
        <v>565</v>
      </c>
      <c r="AR26" s="286" t="s">
        <v>10</v>
      </c>
      <c r="AS26" s="286">
        <v>20</v>
      </c>
      <c r="AT26" s="286" t="s">
        <v>566</v>
      </c>
      <c r="AV26" s="234">
        <f t="shared" si="21"/>
        <v>3</v>
      </c>
      <c r="AW26" s="234">
        <f>COUNTIF( AV$7:AV26, AV26 )</f>
        <v>5</v>
      </c>
      <c r="AX26" s="287">
        <f t="shared" si="22"/>
        <v>3.5</v>
      </c>
      <c r="AY26" s="234">
        <f t="shared" si="23"/>
        <v>7</v>
      </c>
      <c r="AZ26" s="236"/>
      <c r="BA26" s="236"/>
      <c r="BC26" s="234">
        <f t="shared" ca="1" si="24"/>
        <v>20</v>
      </c>
      <c r="BD26" s="288">
        <f t="shared" ca="1" si="6"/>
        <v>13</v>
      </c>
      <c r="BF26" s="240" t="str">
        <f t="shared" ca="1" si="7"/>
        <v>Dominion Energy, Inc.</v>
      </c>
      <c r="BG26" s="240" t="str">
        <f t="shared" ca="1" si="7"/>
        <v>BBB+</v>
      </c>
      <c r="BH26" s="240">
        <f t="shared" ca="1" si="7"/>
        <v>19</v>
      </c>
      <c r="BI26" s="240" t="str">
        <f t="shared" ca="1" si="7"/>
        <v>D</v>
      </c>
    </row>
    <row r="27" spans="1:61" ht="13.8" x14ac:dyDescent="0.25">
      <c r="A27" s="303" t="s">
        <v>31</v>
      </c>
      <c r="B27" s="304" t="s">
        <v>16</v>
      </c>
      <c r="C27" s="304">
        <v>19</v>
      </c>
      <c r="D27" s="304" t="s">
        <v>288</v>
      </c>
      <c r="E27" s="305" t="str">
        <f t="shared" ca="1" si="8"/>
        <v>MR</v>
      </c>
      <c r="F27" s="306"/>
      <c r="G27" s="307">
        <f t="shared" ca="1" si="1"/>
        <v>18</v>
      </c>
      <c r="H27" s="250"/>
      <c r="I27" s="321"/>
      <c r="J27" s="262"/>
      <c r="K27" s="321"/>
      <c r="N27" s="321"/>
      <c r="Q27" s="321"/>
      <c r="T27" s="321"/>
      <c r="W27" s="321"/>
      <c r="AE27" s="254"/>
      <c r="AF27" s="236">
        <f t="shared" si="2"/>
        <v>0</v>
      </c>
      <c r="AG27" s="236" t="str">
        <f t="shared" ca="1" si="3"/>
        <v/>
      </c>
      <c r="AH27" s="236" t="str">
        <f t="shared" ca="1" si="18"/>
        <v/>
      </c>
      <c r="AJ27" s="236">
        <f t="shared" ca="1" si="19"/>
        <v>27</v>
      </c>
      <c r="AK27" s="236" t="str">
        <f t="shared" ca="1" si="20"/>
        <v>BBB+</v>
      </c>
      <c r="AL27" s="236">
        <f t="shared" ca="1" si="20"/>
        <v>19</v>
      </c>
      <c r="AM27" s="236" t="str">
        <f t="shared" ca="1" si="4"/>
        <v/>
      </c>
      <c r="AQ27" s="286" t="s">
        <v>515</v>
      </c>
      <c r="AR27" s="286" t="s">
        <v>110</v>
      </c>
      <c r="AS27" s="286">
        <v>22</v>
      </c>
      <c r="AT27" s="286" t="s">
        <v>511</v>
      </c>
      <c r="AV27" s="234">
        <f t="shared" si="21"/>
        <v>1</v>
      </c>
      <c r="AW27" s="234">
        <f>COUNTIF( AV$7:AV27, AV27 )</f>
        <v>1</v>
      </c>
      <c r="AX27" s="287">
        <f t="shared" si="22"/>
        <v>1.1000000000000001</v>
      </c>
      <c r="AY27" s="234">
        <f t="shared" si="23"/>
        <v>1</v>
      </c>
      <c r="AZ27" s="236"/>
      <c r="BA27" s="236"/>
      <c r="BC27" s="234">
        <f t="shared" ca="1" si="24"/>
        <v>21</v>
      </c>
      <c r="BD27" s="288">
        <f t="shared" ca="1" si="6"/>
        <v>15</v>
      </c>
      <c r="BF27" s="240" t="str">
        <f t="shared" ca="1" si="7"/>
        <v>DTE Energy Company</v>
      </c>
      <c r="BG27" s="240" t="str">
        <f t="shared" ca="1" si="7"/>
        <v>BBB+</v>
      </c>
      <c r="BH27" s="240">
        <f t="shared" ca="1" si="7"/>
        <v>19</v>
      </c>
      <c r="BI27" s="240" t="str">
        <f t="shared" ca="1" si="7"/>
        <v>DTE</v>
      </c>
    </row>
    <row r="28" spans="1:61" ht="13.8" x14ac:dyDescent="0.25">
      <c r="A28" s="303" t="s">
        <v>36</v>
      </c>
      <c r="B28" s="304" t="s">
        <v>16</v>
      </c>
      <c r="C28" s="304">
        <v>19</v>
      </c>
      <c r="D28" s="304" t="s">
        <v>296</v>
      </c>
      <c r="E28" s="305" t="str">
        <f t="shared" ca="1" si="8"/>
        <v>R</v>
      </c>
      <c r="F28" s="306"/>
      <c r="G28" s="307">
        <f t="shared" ca="1" si="1"/>
        <v>22</v>
      </c>
      <c r="H28" s="250"/>
      <c r="I28" s="321"/>
      <c r="J28" s="262"/>
      <c r="K28" s="321"/>
      <c r="N28" s="321"/>
      <c r="Q28" s="321"/>
      <c r="T28" s="321"/>
      <c r="W28" s="321"/>
      <c r="AE28" s="245"/>
      <c r="AF28" s="236">
        <f t="shared" si="2"/>
        <v>0</v>
      </c>
      <c r="AG28" s="236" t="str">
        <f t="shared" ca="1" si="3"/>
        <v/>
      </c>
      <c r="AH28" s="236" t="str">
        <f t="shared" ca="1" si="18"/>
        <v/>
      </c>
      <c r="AJ28" s="236">
        <f t="shared" ca="1" si="19"/>
        <v>28</v>
      </c>
      <c r="AK28" s="236" t="str">
        <f t="shared" ca="1" si="20"/>
        <v>BBB+</v>
      </c>
      <c r="AL28" s="236">
        <f t="shared" ca="1" si="20"/>
        <v>19</v>
      </c>
      <c r="AM28" s="236" t="str">
        <f t="shared" ca="1" si="4"/>
        <v/>
      </c>
      <c r="AQ28" s="286" t="s">
        <v>11</v>
      </c>
      <c r="AR28" s="286" t="s">
        <v>16</v>
      </c>
      <c r="AS28" s="286">
        <v>19</v>
      </c>
      <c r="AT28" s="286" t="s">
        <v>297</v>
      </c>
      <c r="AV28" s="234">
        <f t="shared" si="21"/>
        <v>14</v>
      </c>
      <c r="AW28" s="234">
        <f>COUNTIF( AV$7:AV28, AV28 )</f>
        <v>10</v>
      </c>
      <c r="AX28" s="287">
        <f t="shared" si="22"/>
        <v>15</v>
      </c>
      <c r="AY28" s="234">
        <f t="shared" si="23"/>
        <v>23</v>
      </c>
      <c r="AZ28" s="236"/>
      <c r="BA28" s="236"/>
      <c r="BC28" s="234">
        <f t="shared" ca="1" si="24"/>
        <v>22</v>
      </c>
      <c r="BD28" s="288">
        <f t="shared" ca="1" si="6"/>
        <v>19</v>
      </c>
      <c r="BF28" s="240" t="str">
        <f t="shared" ca="1" si="7"/>
        <v>Entergy Corporation</v>
      </c>
      <c r="BG28" s="240" t="str">
        <f t="shared" ca="1" si="7"/>
        <v>BBB+</v>
      </c>
      <c r="BH28" s="240">
        <f t="shared" ca="1" si="7"/>
        <v>19</v>
      </c>
      <c r="BI28" s="240" t="str">
        <f t="shared" ca="1" si="7"/>
        <v>ETR</v>
      </c>
    </row>
    <row r="29" spans="1:61" ht="13.8" x14ac:dyDescent="0.25">
      <c r="A29" s="303" t="s">
        <v>11</v>
      </c>
      <c r="B29" s="304" t="s">
        <v>16</v>
      </c>
      <c r="C29" s="304">
        <v>19</v>
      </c>
      <c r="D29" s="304" t="s">
        <v>297</v>
      </c>
      <c r="E29" s="305" t="str">
        <f t="shared" ca="1" si="8"/>
        <v>MR</v>
      </c>
      <c r="F29" s="306"/>
      <c r="G29" s="307">
        <f t="shared" ca="1" si="1"/>
        <v>25</v>
      </c>
      <c r="H29" s="250"/>
      <c r="I29" s="321"/>
      <c r="J29" s="262"/>
      <c r="K29" s="321"/>
      <c r="N29" s="321"/>
      <c r="Q29" s="321"/>
      <c r="T29" s="321"/>
      <c r="W29" s="321"/>
      <c r="AF29" s="236">
        <f t="shared" si="2"/>
        <v>0</v>
      </c>
      <c r="AG29" s="236" t="str">
        <f t="shared" ca="1" si="3"/>
        <v/>
      </c>
      <c r="AH29" s="236" t="str">
        <f t="shared" ca="1" si="18"/>
        <v/>
      </c>
      <c r="AJ29" s="236">
        <f t="shared" ca="1" si="19"/>
        <v>29</v>
      </c>
      <c r="AK29" s="236" t="str">
        <f t="shared" ca="1" si="20"/>
        <v>BBB+</v>
      </c>
      <c r="AL29" s="236">
        <f t="shared" ca="1" si="20"/>
        <v>19</v>
      </c>
      <c r="AM29" s="236" t="str">
        <f t="shared" ca="1" si="4"/>
        <v/>
      </c>
      <c r="AQ29" s="286" t="s">
        <v>51</v>
      </c>
      <c r="AR29" s="286" t="s">
        <v>28</v>
      </c>
      <c r="AS29" s="286">
        <v>18</v>
      </c>
      <c r="AT29" s="286" t="s">
        <v>298</v>
      </c>
      <c r="AV29" s="234">
        <f t="shared" si="21"/>
        <v>32</v>
      </c>
      <c r="AW29" s="234">
        <f>COUNTIF( AV$7:AV29, AV29 )</f>
        <v>4</v>
      </c>
      <c r="AX29" s="287">
        <f t="shared" si="22"/>
        <v>32.4</v>
      </c>
      <c r="AY29" s="234">
        <f t="shared" si="23"/>
        <v>35</v>
      </c>
      <c r="AZ29" s="236"/>
      <c r="BA29" s="236"/>
      <c r="BC29" s="234">
        <f t="shared" ca="1" si="24"/>
        <v>23</v>
      </c>
      <c r="BD29" s="288">
        <f t="shared" ca="1" si="6"/>
        <v>22</v>
      </c>
      <c r="BF29" s="240" t="str">
        <f t="shared" ca="1" si="7"/>
        <v>Exelon Corporation</v>
      </c>
      <c r="BG29" s="240" t="str">
        <f t="shared" ca="1" si="7"/>
        <v>BBB+</v>
      </c>
      <c r="BH29" s="240">
        <f t="shared" ca="1" si="7"/>
        <v>19</v>
      </c>
      <c r="BI29" s="240" t="str">
        <f t="shared" ca="1" si="7"/>
        <v>EXC</v>
      </c>
    </row>
    <row r="30" spans="1:61" ht="13.8" x14ac:dyDescent="0.25">
      <c r="A30" s="303" t="s">
        <v>12</v>
      </c>
      <c r="B30" s="304" t="s">
        <v>16</v>
      </c>
      <c r="C30" s="304">
        <v>19</v>
      </c>
      <c r="D30" s="304" t="s">
        <v>308</v>
      </c>
      <c r="E30" s="305" t="str">
        <f t="shared" ca="1" si="8"/>
        <v>MR</v>
      </c>
      <c r="F30" s="306"/>
      <c r="G30" s="307">
        <f t="shared" ca="1" si="1"/>
        <v>29</v>
      </c>
      <c r="H30" s="250"/>
      <c r="I30" s="321"/>
      <c r="J30" s="262"/>
      <c r="K30" s="321"/>
      <c r="N30" s="321"/>
      <c r="Q30" s="321"/>
      <c r="T30" s="321"/>
      <c r="W30" s="321"/>
      <c r="AF30" s="236">
        <f t="shared" si="2"/>
        <v>0</v>
      </c>
      <c r="AG30" s="236" t="str">
        <f t="shared" ca="1" si="3"/>
        <v/>
      </c>
      <c r="AH30" s="236" t="str">
        <f t="shared" ca="1" si="18"/>
        <v/>
      </c>
      <c r="AJ30" s="236">
        <f t="shared" ca="1" si="19"/>
        <v>30</v>
      </c>
      <c r="AK30" s="236" t="str">
        <f t="shared" ca="1" si="20"/>
        <v>BBB+</v>
      </c>
      <c r="AL30" s="236">
        <f t="shared" ca="1" si="20"/>
        <v>19</v>
      </c>
      <c r="AM30" s="236" t="str">
        <f t="shared" ca="1" si="4"/>
        <v/>
      </c>
      <c r="AQ30" s="286" t="s">
        <v>39</v>
      </c>
      <c r="AR30" s="286" t="s">
        <v>49</v>
      </c>
      <c r="AS30" s="286">
        <v>17</v>
      </c>
      <c r="AT30" s="286" t="s">
        <v>301</v>
      </c>
      <c r="AV30" s="234">
        <f t="shared" si="21"/>
        <v>40</v>
      </c>
      <c r="AW30" s="234">
        <f>COUNTIF( AV$7:AV30, AV30 )</f>
        <v>3</v>
      </c>
      <c r="AX30" s="287">
        <f t="shared" si="22"/>
        <v>40.299999999999997</v>
      </c>
      <c r="AY30" s="234">
        <f t="shared" si="23"/>
        <v>42</v>
      </c>
      <c r="AZ30" s="236"/>
      <c r="BA30" s="236"/>
      <c r="BC30" s="234">
        <f t="shared" ca="1" si="24"/>
        <v>24</v>
      </c>
      <c r="BD30" s="288">
        <f t="shared" ca="1" si="6"/>
        <v>27</v>
      </c>
      <c r="BF30" s="240" t="str">
        <f t="shared" ca="1" si="7"/>
        <v>MDU Resources Group, Inc.</v>
      </c>
      <c r="BG30" s="240" t="str">
        <f t="shared" ca="1" si="7"/>
        <v>BBB+</v>
      </c>
      <c r="BH30" s="240">
        <f t="shared" ca="1" si="7"/>
        <v>19</v>
      </c>
      <c r="BI30" s="240" t="str">
        <f t="shared" ca="1" si="7"/>
        <v>MDU</v>
      </c>
    </row>
    <row r="31" spans="1:61" ht="13.8" x14ac:dyDescent="0.25">
      <c r="A31" s="303" t="s">
        <v>40</v>
      </c>
      <c r="B31" s="304" t="s">
        <v>16</v>
      </c>
      <c r="C31" s="304">
        <v>19</v>
      </c>
      <c r="D31" s="304" t="s">
        <v>310</v>
      </c>
      <c r="E31" s="305" t="str">
        <f t="shared" ca="1" si="8"/>
        <v>R</v>
      </c>
      <c r="F31" s="306"/>
      <c r="G31" s="307">
        <f t="shared" ca="1" si="1"/>
        <v>32</v>
      </c>
      <c r="H31" s="250"/>
      <c r="I31" s="321"/>
      <c r="J31" s="262"/>
      <c r="K31" s="321"/>
      <c r="N31" s="321"/>
      <c r="O31" s="253"/>
      <c r="Q31" s="321"/>
      <c r="T31" s="321"/>
      <c r="W31" s="321"/>
      <c r="AF31" s="236">
        <f t="shared" si="2"/>
        <v>0</v>
      </c>
      <c r="AG31" s="236" t="str">
        <f t="shared" ca="1" si="3"/>
        <v/>
      </c>
      <c r="AH31" s="236" t="str">
        <f t="shared" ca="1" si="18"/>
        <v/>
      </c>
      <c r="AJ31" s="236">
        <f t="shared" ca="1" si="19"/>
        <v>31</v>
      </c>
      <c r="AK31" s="236" t="str">
        <f t="shared" ca="1" si="20"/>
        <v>BBB+</v>
      </c>
      <c r="AL31" s="236">
        <f t="shared" ca="1" si="20"/>
        <v>19</v>
      </c>
      <c r="AM31" s="236" t="str">
        <f t="shared" ca="1" si="4"/>
        <v/>
      </c>
      <c r="AQ31" s="286" t="s">
        <v>20</v>
      </c>
      <c r="AR31" s="286" t="s">
        <v>28</v>
      </c>
      <c r="AS31" s="286">
        <v>18</v>
      </c>
      <c r="AT31" s="286" t="s">
        <v>302</v>
      </c>
      <c r="AV31" s="234">
        <f t="shared" si="21"/>
        <v>32</v>
      </c>
      <c r="AW31" s="234">
        <f>COUNTIF( AV$7:AV31, AV31 )</f>
        <v>5</v>
      </c>
      <c r="AX31" s="287">
        <f t="shared" si="22"/>
        <v>32.5</v>
      </c>
      <c r="AY31" s="234">
        <f t="shared" si="23"/>
        <v>36</v>
      </c>
      <c r="AZ31" s="236"/>
      <c r="BA31" s="236"/>
      <c r="BC31" s="234">
        <f t="shared" ca="1" si="24"/>
        <v>25</v>
      </c>
      <c r="BD31" s="288">
        <f t="shared" ca="1" si="6"/>
        <v>29</v>
      </c>
      <c r="BF31" s="240" t="str">
        <f t="shared" ca="1" si="7"/>
        <v>NiSource Inc.</v>
      </c>
      <c r="BG31" s="240" t="str">
        <f t="shared" ca="1" si="7"/>
        <v>BBB+</v>
      </c>
      <c r="BH31" s="240">
        <f t="shared" ca="1" si="7"/>
        <v>19</v>
      </c>
      <c r="BI31" s="240" t="str">
        <f t="shared" ca="1" si="7"/>
        <v>NI</v>
      </c>
    </row>
    <row r="32" spans="1:61" ht="13.8" x14ac:dyDescent="0.25">
      <c r="A32" s="303" t="s">
        <v>21</v>
      </c>
      <c r="B32" s="304" t="s">
        <v>16</v>
      </c>
      <c r="C32" s="304">
        <v>19</v>
      </c>
      <c r="D32" s="304" t="s">
        <v>315</v>
      </c>
      <c r="E32" s="305" t="str">
        <f t="shared" ca="1" si="8"/>
        <v>R</v>
      </c>
      <c r="F32" s="306"/>
      <c r="G32" s="307">
        <f t="shared" ca="1" si="1"/>
        <v>34</v>
      </c>
      <c r="H32" s="250"/>
      <c r="I32" s="321"/>
      <c r="J32" s="262"/>
      <c r="K32" s="321"/>
      <c r="N32" s="321"/>
      <c r="Q32" s="321"/>
      <c r="T32" s="321"/>
      <c r="W32" s="321"/>
      <c r="AF32" s="236">
        <f t="shared" si="2"/>
        <v>0</v>
      </c>
      <c r="AG32" s="236" t="str">
        <f t="shared" ca="1" si="3"/>
        <v/>
      </c>
      <c r="AH32" s="236" t="str">
        <f t="shared" ca="1" si="18"/>
        <v/>
      </c>
      <c r="AJ32" s="236">
        <f t="shared" ca="1" si="19"/>
        <v>32</v>
      </c>
      <c r="AK32" s="236" t="str">
        <f t="shared" ca="1" si="20"/>
        <v>BBB+</v>
      </c>
      <c r="AL32" s="236">
        <f t="shared" ca="1" si="20"/>
        <v>19</v>
      </c>
      <c r="AM32" s="236" t="str">
        <f t="shared" ca="1" si="4"/>
        <v/>
      </c>
      <c r="AQ32" s="286" t="s">
        <v>58</v>
      </c>
      <c r="AR32" s="286" t="s">
        <v>28</v>
      </c>
      <c r="AS32" s="286">
        <v>18</v>
      </c>
      <c r="AT32" s="286" t="s">
        <v>445</v>
      </c>
      <c r="AV32" s="234">
        <f t="shared" si="21"/>
        <v>32</v>
      </c>
      <c r="AW32" s="234">
        <f>COUNTIF( AV$7:AV32, AV32 )</f>
        <v>6</v>
      </c>
      <c r="AX32" s="287">
        <f t="shared" si="22"/>
        <v>32.6</v>
      </c>
      <c r="AY32" s="234">
        <f t="shared" si="23"/>
        <v>37</v>
      </c>
      <c r="AZ32" s="236"/>
      <c r="BA32" s="236"/>
      <c r="BC32" s="234">
        <f t="shared" ca="1" si="24"/>
        <v>26</v>
      </c>
      <c r="BD32" s="288">
        <f t="shared" ca="1" si="6"/>
        <v>31</v>
      </c>
      <c r="BF32" s="240" t="str">
        <f t="shared" ca="1" si="7"/>
        <v>OGE Energy Corp.</v>
      </c>
      <c r="BG32" s="240" t="str">
        <f t="shared" ca="1" si="7"/>
        <v>BBB+</v>
      </c>
      <c r="BH32" s="240">
        <f t="shared" ca="1" si="7"/>
        <v>19</v>
      </c>
      <c r="BI32" s="240" t="str">
        <f t="shared" ca="1" si="7"/>
        <v>OGE</v>
      </c>
    </row>
    <row r="33" spans="1:61" ht="13.8" x14ac:dyDescent="0.25">
      <c r="A33" s="303" t="s">
        <v>42</v>
      </c>
      <c r="B33" s="304" t="s">
        <v>16</v>
      </c>
      <c r="C33" s="304">
        <v>19</v>
      </c>
      <c r="D33" s="304" t="s">
        <v>320</v>
      </c>
      <c r="E33" s="305" t="str">
        <f t="shared" ca="1" si="8"/>
        <v>R</v>
      </c>
      <c r="F33" s="306"/>
      <c r="G33" s="307">
        <f t="shared" ca="1" si="1"/>
        <v>38</v>
      </c>
      <c r="H33" s="250"/>
      <c r="I33" s="321"/>
      <c r="J33" s="262"/>
      <c r="K33" s="321"/>
      <c r="N33" s="321"/>
      <c r="Q33" s="321"/>
      <c r="T33" s="321"/>
      <c r="W33" s="321"/>
      <c r="AF33" s="236">
        <f t="shared" si="2"/>
        <v>0</v>
      </c>
      <c r="AG33" s="236" t="str">
        <f t="shared" ca="1" si="3"/>
        <v/>
      </c>
      <c r="AH33" s="236" t="str">
        <f t="shared" ca="1" si="18"/>
        <v/>
      </c>
      <c r="AJ33" s="236">
        <f t="shared" ca="1" si="19"/>
        <v>33</v>
      </c>
      <c r="AK33" s="236" t="str">
        <f t="shared" ca="1" si="20"/>
        <v>BBB+</v>
      </c>
      <c r="AL33" s="236">
        <f t="shared" ca="1" si="20"/>
        <v>19</v>
      </c>
      <c r="AM33" s="236" t="str">
        <f t="shared" ca="1" si="4"/>
        <v/>
      </c>
      <c r="AQ33" s="286" t="s">
        <v>12</v>
      </c>
      <c r="AR33" s="286" t="s">
        <v>16</v>
      </c>
      <c r="AS33" s="286">
        <v>19</v>
      </c>
      <c r="AT33" s="286" t="s">
        <v>308</v>
      </c>
      <c r="AV33" s="234">
        <f t="shared" si="21"/>
        <v>14</v>
      </c>
      <c r="AW33" s="234">
        <f>COUNTIF( AV$7:AV33, AV33 )</f>
        <v>11</v>
      </c>
      <c r="AX33" s="287">
        <f t="shared" si="22"/>
        <v>15.1</v>
      </c>
      <c r="AY33" s="234">
        <f t="shared" si="23"/>
        <v>24</v>
      </c>
      <c r="AZ33" s="236"/>
      <c r="BA33" s="236"/>
      <c r="BC33" s="234">
        <f t="shared" ca="1" si="24"/>
        <v>27</v>
      </c>
      <c r="BD33" s="288">
        <f t="shared" ca="1" si="6"/>
        <v>35</v>
      </c>
      <c r="BF33" s="240" t="str">
        <f t="shared" ca="1" si="7"/>
        <v>PNM Resources, Inc.</v>
      </c>
      <c r="BG33" s="240" t="str">
        <f t="shared" ca="1" si="7"/>
        <v>BBB+</v>
      </c>
      <c r="BH33" s="240">
        <f t="shared" ca="1" si="7"/>
        <v>19</v>
      </c>
      <c r="BI33" s="240" t="str">
        <f t="shared" ca="1" si="7"/>
        <v>PNM</v>
      </c>
    </row>
    <row r="34" spans="1:61" ht="13.8" x14ac:dyDescent="0.25">
      <c r="A34" s="303" t="s">
        <v>24</v>
      </c>
      <c r="B34" s="304" t="s">
        <v>16</v>
      </c>
      <c r="C34" s="304">
        <v>19</v>
      </c>
      <c r="D34" s="304" t="s">
        <v>323</v>
      </c>
      <c r="E34" s="305" t="str">
        <f t="shared" ca="1" si="8"/>
        <v>R</v>
      </c>
      <c r="F34" s="306"/>
      <c r="G34" s="307">
        <f t="shared" ca="1" si="1"/>
        <v>39</v>
      </c>
      <c r="H34" s="250"/>
      <c r="I34" s="321"/>
      <c r="J34" s="262"/>
      <c r="K34" s="321"/>
      <c r="L34" s="235"/>
      <c r="M34" s="235"/>
      <c r="N34" s="321"/>
      <c r="Q34" s="321"/>
      <c r="T34" s="321"/>
      <c r="W34" s="321"/>
      <c r="AF34" s="236">
        <f t="shared" si="2"/>
        <v>0</v>
      </c>
      <c r="AG34" s="236" t="str">
        <f t="shared" ca="1" si="3"/>
        <v/>
      </c>
      <c r="AH34" s="236" t="str">
        <f t="shared" ca="1" si="18"/>
        <v/>
      </c>
      <c r="AJ34" s="236">
        <f t="shared" ca="1" si="19"/>
        <v>34</v>
      </c>
      <c r="AK34" s="236" t="str">
        <f t="shared" ca="1" si="20"/>
        <v>BBB+</v>
      </c>
      <c r="AL34" s="236">
        <f t="shared" ca="1" si="20"/>
        <v>19</v>
      </c>
      <c r="AM34" s="236" t="str">
        <f t="shared" ca="1" si="4"/>
        <v/>
      </c>
      <c r="AQ34" s="286" t="s">
        <v>369</v>
      </c>
      <c r="AR34" s="286" t="s">
        <v>10</v>
      </c>
      <c r="AS34" s="286">
        <v>20</v>
      </c>
      <c r="AT34" s="286" t="s">
        <v>368</v>
      </c>
      <c r="AV34" s="234">
        <f t="shared" si="21"/>
        <v>3</v>
      </c>
      <c r="AW34" s="234">
        <f>COUNTIF( AV$7:AV34, AV34 )</f>
        <v>6</v>
      </c>
      <c r="AX34" s="287">
        <f t="shared" si="22"/>
        <v>3.6</v>
      </c>
      <c r="AY34" s="234">
        <f t="shared" si="23"/>
        <v>8</v>
      </c>
      <c r="AZ34" s="236"/>
      <c r="BA34" s="236"/>
      <c r="BC34" s="234">
        <f t="shared" ca="1" si="24"/>
        <v>28</v>
      </c>
      <c r="BD34" s="288">
        <f t="shared" ca="1" si="6"/>
        <v>36</v>
      </c>
      <c r="BF34" s="240" t="str">
        <f t="shared" ca="1" si="7"/>
        <v>Portland General Electric Company</v>
      </c>
      <c r="BG34" s="240" t="str">
        <f t="shared" ca="1" si="7"/>
        <v>BBB+</v>
      </c>
      <c r="BH34" s="240">
        <f t="shared" ca="1" si="7"/>
        <v>19</v>
      </c>
      <c r="BI34" s="240" t="str">
        <f ca="1">OFFSET( AT$6, $BD34, 0 )</f>
        <v>POR</v>
      </c>
    </row>
    <row r="35" spans="1:61" ht="13.8" x14ac:dyDescent="0.25">
      <c r="A35" s="303" t="s">
        <v>45</v>
      </c>
      <c r="B35" s="304" t="s">
        <v>16</v>
      </c>
      <c r="C35" s="304">
        <v>19</v>
      </c>
      <c r="D35" s="304" t="s">
        <v>318</v>
      </c>
      <c r="E35" s="305" t="str">
        <f t="shared" ca="1" si="8"/>
        <v>MR</v>
      </c>
      <c r="F35" s="306"/>
      <c r="G35" s="307">
        <f t="shared" ca="1" si="1"/>
        <v>41</v>
      </c>
      <c r="H35" s="250"/>
      <c r="I35" s="321"/>
      <c r="K35" s="321"/>
      <c r="L35" s="235"/>
      <c r="M35" s="235"/>
      <c r="N35" s="321"/>
      <c r="Q35" s="321"/>
      <c r="T35" s="321"/>
      <c r="W35" s="321"/>
      <c r="AF35" s="236">
        <f t="shared" si="2"/>
        <v>0</v>
      </c>
      <c r="AG35" s="236" t="str">
        <f t="shared" ca="1" si="3"/>
        <v/>
      </c>
      <c r="AH35" s="236" t="str">
        <f t="shared" ca="1" si="18"/>
        <v/>
      </c>
      <c r="AJ35" s="236">
        <f t="shared" ca="1" si="19"/>
        <v>35</v>
      </c>
      <c r="AK35" s="236" t="str">
        <f t="shared" ca="1" si="20"/>
        <v>BBB+</v>
      </c>
      <c r="AL35" s="236">
        <f t="shared" ca="1" si="20"/>
        <v>19</v>
      </c>
      <c r="AM35" s="236" t="str">
        <f t="shared" ca="1" si="4"/>
        <v/>
      </c>
      <c r="AQ35" s="286" t="s">
        <v>40</v>
      </c>
      <c r="AR35" s="286" t="s">
        <v>16</v>
      </c>
      <c r="AS35" s="286">
        <v>19</v>
      </c>
      <c r="AT35" s="286" t="s">
        <v>310</v>
      </c>
      <c r="AV35" s="234">
        <f t="shared" si="21"/>
        <v>14</v>
      </c>
      <c r="AW35" s="234">
        <f>COUNTIF( AV$7:AV35, AV35 )</f>
        <v>12</v>
      </c>
      <c r="AX35" s="287">
        <f t="shared" si="22"/>
        <v>15.2</v>
      </c>
      <c r="AY35" s="234">
        <f t="shared" si="23"/>
        <v>25</v>
      </c>
      <c r="AZ35" s="236"/>
      <c r="BA35" s="236"/>
      <c r="BC35" s="234">
        <f t="shared" ca="1" si="24"/>
        <v>29</v>
      </c>
      <c r="BD35" s="288">
        <f t="shared" ca="1" si="6"/>
        <v>38</v>
      </c>
      <c r="BF35" s="240" t="str">
        <f t="shared" ca="1" si="7"/>
        <v>Public Service Enterprise Group Incorporated</v>
      </c>
      <c r="BG35" s="240" t="str">
        <f t="shared" ca="1" si="7"/>
        <v>BBB+</v>
      </c>
      <c r="BH35" s="240">
        <f t="shared" ca="1" si="7"/>
        <v>19</v>
      </c>
      <c r="BI35" s="240" t="str">
        <f t="shared" ca="1" si="7"/>
        <v>PEG</v>
      </c>
    </row>
    <row r="36" spans="1:61" ht="13.8" x14ac:dyDescent="0.25">
      <c r="A36" s="303" t="s">
        <v>25</v>
      </c>
      <c r="B36" s="304" t="s">
        <v>16</v>
      </c>
      <c r="C36" s="304">
        <v>19</v>
      </c>
      <c r="D36" s="304" t="s">
        <v>328</v>
      </c>
      <c r="E36" s="305" t="str">
        <f t="shared" ca="1" si="8"/>
        <v>R</v>
      </c>
      <c r="F36" s="306"/>
      <c r="G36" s="307">
        <f t="shared" ca="1" si="1"/>
        <v>42</v>
      </c>
      <c r="H36" s="250"/>
      <c r="I36" s="321"/>
      <c r="J36" s="262"/>
      <c r="K36" s="321"/>
      <c r="L36" s="263"/>
      <c r="M36" s="263"/>
      <c r="N36" s="321"/>
      <c r="Q36" s="321"/>
      <c r="T36" s="321"/>
      <c r="W36" s="321"/>
      <c r="AF36" s="236">
        <f t="shared" si="2"/>
        <v>0</v>
      </c>
      <c r="AG36" s="236" t="str">
        <f t="shared" ca="1" si="3"/>
        <v/>
      </c>
      <c r="AH36" s="236" t="str">
        <f t="shared" ca="1" si="18"/>
        <v/>
      </c>
      <c r="AJ36" s="236">
        <f t="shared" ca="1" si="19"/>
        <v>36</v>
      </c>
      <c r="AK36" s="236" t="str">
        <f t="shared" ca="1" si="20"/>
        <v>BBB+</v>
      </c>
      <c r="AL36" s="236">
        <f t="shared" ca="1" si="20"/>
        <v>19</v>
      </c>
      <c r="AM36" s="236" t="str">
        <f t="shared" ca="1" si="4"/>
        <v/>
      </c>
      <c r="AQ36" s="286" t="s">
        <v>66</v>
      </c>
      <c r="AR36" s="286" t="s">
        <v>28</v>
      </c>
      <c r="AS36" s="286">
        <v>18</v>
      </c>
      <c r="AT36" s="289" t="s">
        <v>314</v>
      </c>
      <c r="AV36" s="234">
        <f t="shared" si="21"/>
        <v>32</v>
      </c>
      <c r="AW36" s="234">
        <f>COUNTIF( AV$7:AV36, AV36 )</f>
        <v>7</v>
      </c>
      <c r="AX36" s="287">
        <f t="shared" si="22"/>
        <v>32.700000000000003</v>
      </c>
      <c r="AY36" s="234">
        <f t="shared" si="23"/>
        <v>38</v>
      </c>
      <c r="AZ36" s="236"/>
      <c r="BA36" s="236"/>
      <c r="BC36" s="234">
        <f t="shared" ca="1" si="24"/>
        <v>30</v>
      </c>
      <c r="BD36" s="288">
        <f t="shared" ca="1" si="6"/>
        <v>40</v>
      </c>
      <c r="BF36" s="240" t="str">
        <f t="shared" ca="1" si="7"/>
        <v>Sempra Energy</v>
      </c>
      <c r="BG36" s="240" t="str">
        <f t="shared" ca="1" si="7"/>
        <v>BBB+</v>
      </c>
      <c r="BH36" s="240">
        <f t="shared" ca="1" si="7"/>
        <v>19</v>
      </c>
      <c r="BI36" s="240" t="str">
        <f t="shared" ca="1" si="7"/>
        <v>SRE</v>
      </c>
    </row>
    <row r="37" spans="1:61" ht="13.8" x14ac:dyDescent="0.25">
      <c r="A37" s="303" t="s">
        <v>76</v>
      </c>
      <c r="B37" s="304" t="s">
        <v>16</v>
      </c>
      <c r="C37" s="304">
        <v>19</v>
      </c>
      <c r="D37" s="304" t="s">
        <v>333</v>
      </c>
      <c r="E37" s="305" t="str">
        <f t="shared" ca="1" si="8"/>
        <v>R</v>
      </c>
      <c r="F37" s="306"/>
      <c r="G37" s="307">
        <f t="shared" ca="1" si="1"/>
        <v>44</v>
      </c>
      <c r="H37" s="250"/>
      <c r="I37" s="321"/>
      <c r="K37" s="321"/>
      <c r="L37" s="264"/>
      <c r="M37" s="235"/>
      <c r="N37" s="321"/>
      <c r="Q37" s="321"/>
      <c r="T37" s="321"/>
      <c r="W37" s="321"/>
      <c r="AF37" s="236">
        <f t="shared" si="2"/>
        <v>0</v>
      </c>
      <c r="AG37" s="236" t="str">
        <f t="shared" ca="1" si="3"/>
        <v/>
      </c>
      <c r="AH37" s="236" t="str">
        <f t="shared" ca="1" si="18"/>
        <v/>
      </c>
      <c r="AJ37" s="236">
        <f t="shared" ca="1" si="19"/>
        <v>37</v>
      </c>
      <c r="AK37" s="236" t="str">
        <f t="shared" ca="1" si="20"/>
        <v>BBB+</v>
      </c>
      <c r="AL37" s="236">
        <f t="shared" ca="1" si="20"/>
        <v>19</v>
      </c>
      <c r="AM37" s="236" t="str">
        <f t="shared" ca="1" si="4"/>
        <v/>
      </c>
      <c r="AQ37" s="286" t="s">
        <v>21</v>
      </c>
      <c r="AR37" s="286" t="s">
        <v>16</v>
      </c>
      <c r="AS37" s="286">
        <v>19</v>
      </c>
      <c r="AT37" s="286" t="s">
        <v>315</v>
      </c>
      <c r="AV37" s="234">
        <f t="shared" si="21"/>
        <v>14</v>
      </c>
      <c r="AW37" s="234">
        <f>COUNTIF( AV$7:AV37, AV37 )</f>
        <v>13</v>
      </c>
      <c r="AX37" s="287">
        <f t="shared" si="22"/>
        <v>15.3</v>
      </c>
      <c r="AY37" s="234">
        <f t="shared" si="23"/>
        <v>26</v>
      </c>
      <c r="AZ37" s="236"/>
      <c r="BA37" s="236"/>
      <c r="BC37" s="234">
        <f t="shared" ca="1" si="24"/>
        <v>31</v>
      </c>
      <c r="BD37" s="288">
        <f t="shared" ca="1" si="6"/>
        <v>42</v>
      </c>
      <c r="BF37" s="240" t="str">
        <f t="shared" ca="1" si="7"/>
        <v>Unitil Corporation</v>
      </c>
      <c r="BG37" s="240" t="str">
        <f t="shared" ca="1" si="7"/>
        <v>BBB+</v>
      </c>
      <c r="BH37" s="240">
        <f t="shared" ca="1" si="7"/>
        <v>19</v>
      </c>
      <c r="BI37" s="240" t="str">
        <f t="shared" ca="1" si="7"/>
        <v>UTL</v>
      </c>
    </row>
    <row r="38" spans="1:61" ht="13.8" x14ac:dyDescent="0.25">
      <c r="A38" s="303" t="s">
        <v>55</v>
      </c>
      <c r="B38" s="304" t="s">
        <v>28</v>
      </c>
      <c r="C38" s="304">
        <v>18</v>
      </c>
      <c r="D38" s="304" t="s">
        <v>277</v>
      </c>
      <c r="E38" s="305" t="str">
        <f t="shared" ca="1" si="8"/>
        <v>R</v>
      </c>
      <c r="F38" s="306"/>
      <c r="G38" s="307">
        <f t="shared" ca="1" si="1"/>
        <v>12</v>
      </c>
      <c r="H38" s="250"/>
      <c r="I38" s="321"/>
      <c r="J38" s="262"/>
      <c r="K38" s="321"/>
      <c r="L38" s="264"/>
      <c r="M38" s="235"/>
      <c r="N38" s="321"/>
      <c r="Q38" s="321"/>
      <c r="T38" s="321"/>
      <c r="W38" s="321"/>
      <c r="AF38" s="236">
        <f t="shared" si="2"/>
        <v>1</v>
      </c>
      <c r="AG38" s="236" t="str">
        <f t="shared" ca="1" si="3"/>
        <v/>
      </c>
      <c r="AH38" s="236" t="str">
        <f t="shared" ca="1" si="18"/>
        <v/>
      </c>
      <c r="AJ38" s="236">
        <f t="shared" ca="1" si="19"/>
        <v>38</v>
      </c>
      <c r="AK38" s="236" t="str">
        <f t="shared" ca="1" si="20"/>
        <v>BBB</v>
      </c>
      <c r="AL38" s="236">
        <f t="shared" ca="1" si="20"/>
        <v>18</v>
      </c>
      <c r="AM38" s="236" t="str">
        <f t="shared" ca="1" si="4"/>
        <v/>
      </c>
      <c r="AQ38" s="286" t="s">
        <v>22</v>
      </c>
      <c r="AR38" s="286" t="s">
        <v>28</v>
      </c>
      <c r="AS38" s="286">
        <v>18</v>
      </c>
      <c r="AT38" s="286" t="s">
        <v>316</v>
      </c>
      <c r="AV38" s="234">
        <f t="shared" si="21"/>
        <v>32</v>
      </c>
      <c r="AW38" s="234">
        <f>COUNTIF( AV$7:AV38, AV38 )</f>
        <v>8</v>
      </c>
      <c r="AX38" s="287">
        <f t="shared" si="22"/>
        <v>32.799999999999997</v>
      </c>
      <c r="AY38" s="234">
        <f t="shared" si="23"/>
        <v>39</v>
      </c>
      <c r="AZ38" s="236"/>
      <c r="BA38" s="236"/>
      <c r="BC38" s="234">
        <f t="shared" ca="1" si="24"/>
        <v>32</v>
      </c>
      <c r="BD38" s="288">
        <f t="shared" ca="1" si="6"/>
        <v>6</v>
      </c>
      <c r="BF38" s="240" t="str">
        <f t="shared" ca="1" si="7"/>
        <v>Avista Corporation</v>
      </c>
      <c r="BG38" s="240" t="str">
        <f t="shared" ca="1" si="7"/>
        <v>BBB</v>
      </c>
      <c r="BH38" s="240">
        <f t="shared" ca="1" si="7"/>
        <v>18</v>
      </c>
      <c r="BI38" s="240" t="str">
        <f t="shared" ca="1" si="7"/>
        <v>AVA</v>
      </c>
    </row>
    <row r="39" spans="1:61" ht="13.8" x14ac:dyDescent="0.25">
      <c r="A39" s="303" t="s">
        <v>57</v>
      </c>
      <c r="B39" s="304" t="s">
        <v>28</v>
      </c>
      <c r="C39" s="304">
        <v>18</v>
      </c>
      <c r="D39" s="304" t="s">
        <v>295</v>
      </c>
      <c r="E39" s="305" t="str">
        <f t="shared" ca="1" si="8"/>
        <v>R</v>
      </c>
      <c r="F39" s="306"/>
      <c r="G39" s="307">
        <f t="shared" ca="1" si="1"/>
        <v>20</v>
      </c>
      <c r="H39" s="250"/>
      <c r="I39" s="321"/>
      <c r="K39" s="321"/>
      <c r="L39" s="264"/>
      <c r="M39" s="235"/>
      <c r="N39" s="321"/>
      <c r="Q39" s="321"/>
      <c r="T39" s="321"/>
      <c r="W39" s="321"/>
      <c r="AF39" s="236">
        <f t="shared" si="2"/>
        <v>1</v>
      </c>
      <c r="AG39" s="236" t="str">
        <f t="shared" ca="1" si="3"/>
        <v/>
      </c>
      <c r="AH39" s="236" t="str">
        <f t="shared" ca="1" si="18"/>
        <v/>
      </c>
      <c r="AJ39" s="236">
        <f t="shared" ca="1" si="19"/>
        <v>39</v>
      </c>
      <c r="AK39" s="236" t="str">
        <f t="shared" ca="1" si="20"/>
        <v>BBB</v>
      </c>
      <c r="AL39" s="236">
        <f t="shared" ca="1" si="20"/>
        <v>18</v>
      </c>
      <c r="AM39" s="236" t="str">
        <f t="shared" ca="1" si="4"/>
        <v/>
      </c>
      <c r="AQ39" s="286" t="s">
        <v>53</v>
      </c>
      <c r="AR39" s="286" t="s">
        <v>86</v>
      </c>
      <c r="AS39" s="286">
        <v>3</v>
      </c>
      <c r="AT39" s="286" t="s">
        <v>317</v>
      </c>
      <c r="AV39" s="234">
        <f t="shared" si="21"/>
        <v>44</v>
      </c>
      <c r="AW39" s="234">
        <f>COUNTIF( AV$7:AV39, AV39 )</f>
        <v>1</v>
      </c>
      <c r="AX39" s="287">
        <f t="shared" si="22"/>
        <v>44.1</v>
      </c>
      <c r="AY39" s="234">
        <f t="shared" si="23"/>
        <v>44</v>
      </c>
      <c r="AZ39" s="236"/>
      <c r="BA39" s="236"/>
      <c r="BC39" s="234">
        <f t="shared" ca="1" si="24"/>
        <v>33</v>
      </c>
      <c r="BD39" s="288">
        <f t="shared" ca="1" si="6"/>
        <v>17</v>
      </c>
      <c r="BF39" s="240" t="str">
        <f t="shared" ref="BF39:BI63" ca="1" si="25">OFFSET( AQ$6, $BD39, 0 )</f>
        <v>Edison International</v>
      </c>
      <c r="BG39" s="240" t="str">
        <f t="shared" ca="1" si="25"/>
        <v>BBB</v>
      </c>
      <c r="BH39" s="240">
        <f t="shared" ca="1" si="25"/>
        <v>18</v>
      </c>
      <c r="BI39" s="240" t="str">
        <f t="shared" ca="1" si="25"/>
        <v>EIX</v>
      </c>
    </row>
    <row r="40" spans="1:61" ht="13.8" x14ac:dyDescent="0.25">
      <c r="A40" s="303" t="s">
        <v>34</v>
      </c>
      <c r="B40" s="304" t="s">
        <v>28</v>
      </c>
      <c r="C40" s="304">
        <v>18</v>
      </c>
      <c r="D40" s="304" t="s">
        <v>293</v>
      </c>
      <c r="E40" s="305" t="str">
        <f t="shared" ca="1" si="8"/>
        <v>R</v>
      </c>
      <c r="F40" s="306"/>
      <c r="G40" s="307">
        <f t="shared" ca="1" si="1"/>
        <v>21</v>
      </c>
      <c r="H40" s="250"/>
      <c r="I40" s="321"/>
      <c r="J40" s="262"/>
      <c r="K40" s="321"/>
      <c r="L40" s="264"/>
      <c r="M40" s="235"/>
      <c r="N40" s="321"/>
      <c r="Q40" s="321"/>
      <c r="T40" s="321"/>
      <c r="W40" s="321"/>
      <c r="AF40" s="236">
        <f t="shared" si="2"/>
        <v>1</v>
      </c>
      <c r="AG40" s="236" t="str">
        <f t="shared" ca="1" si="3"/>
        <v/>
      </c>
      <c r="AH40" s="236" t="str">
        <f t="shared" ca="1" si="18"/>
        <v/>
      </c>
      <c r="AJ40" s="236">
        <f t="shared" ca="1" si="19"/>
        <v>40</v>
      </c>
      <c r="AK40" s="236" t="str">
        <f t="shared" ca="1" si="20"/>
        <v>BBB</v>
      </c>
      <c r="AL40" s="236">
        <f t="shared" ca="1" si="20"/>
        <v>18</v>
      </c>
      <c r="AM40" s="236" t="str">
        <f t="shared" ca="1" si="4"/>
        <v/>
      </c>
      <c r="AQ40" s="286" t="s">
        <v>41</v>
      </c>
      <c r="AR40" s="286" t="s">
        <v>10</v>
      </c>
      <c r="AS40" s="286">
        <v>20</v>
      </c>
      <c r="AT40" s="286" t="s">
        <v>321</v>
      </c>
      <c r="AV40" s="234">
        <f t="shared" si="21"/>
        <v>3</v>
      </c>
      <c r="AW40" s="234">
        <f>COUNTIF( AV$7:AV40, AV40 )</f>
        <v>7</v>
      </c>
      <c r="AX40" s="287">
        <f t="shared" si="22"/>
        <v>3.7</v>
      </c>
      <c r="AY40" s="234">
        <f t="shared" si="23"/>
        <v>9</v>
      </c>
      <c r="AZ40" s="236"/>
      <c r="BA40" s="236"/>
      <c r="BC40" s="234">
        <f t="shared" ca="1" si="24"/>
        <v>34</v>
      </c>
      <c r="BD40" s="288">
        <f t="shared" ca="1" si="6"/>
        <v>18</v>
      </c>
      <c r="BF40" s="240" t="str">
        <f t="shared" ca="1" si="25"/>
        <v>El Paso Electric Company</v>
      </c>
      <c r="BG40" s="240" t="str">
        <f t="shared" ca="1" si="25"/>
        <v>BBB</v>
      </c>
      <c r="BH40" s="240">
        <f t="shared" ca="1" si="25"/>
        <v>18</v>
      </c>
      <c r="BI40" s="240" t="str">
        <f t="shared" ca="1" si="25"/>
        <v>EE</v>
      </c>
    </row>
    <row r="41" spans="1:61" ht="13.8" x14ac:dyDescent="0.25">
      <c r="A41" s="303" t="s">
        <v>51</v>
      </c>
      <c r="B41" s="304" t="s">
        <v>28</v>
      </c>
      <c r="C41" s="304">
        <v>18</v>
      </c>
      <c r="D41" s="304" t="s">
        <v>298</v>
      </c>
      <c r="E41" s="305" t="str">
        <f t="shared" ca="1" si="8"/>
        <v>R</v>
      </c>
      <c r="F41" s="306"/>
      <c r="G41" s="307">
        <f t="shared" ca="1" si="1"/>
        <v>26</v>
      </c>
      <c r="H41" s="250"/>
      <c r="I41" s="321"/>
      <c r="J41" s="262"/>
      <c r="K41" s="321"/>
      <c r="L41" s="264"/>
      <c r="M41" s="235"/>
      <c r="N41" s="321"/>
      <c r="Q41" s="321"/>
      <c r="T41" s="321"/>
      <c r="W41" s="321"/>
      <c r="AF41" s="236">
        <f t="shared" si="2"/>
        <v>1</v>
      </c>
      <c r="AG41" s="236" t="str">
        <f t="shared" ca="1" si="3"/>
        <v/>
      </c>
      <c r="AH41" s="236" t="str">
        <f t="shared" ca="1" si="18"/>
        <v/>
      </c>
      <c r="AJ41" s="236">
        <f t="shared" ca="1" si="19"/>
        <v>41</v>
      </c>
      <c r="AK41" s="236" t="str">
        <f t="shared" ca="1" si="20"/>
        <v>BBB</v>
      </c>
      <c r="AL41" s="236">
        <f t="shared" ca="1" si="20"/>
        <v>18</v>
      </c>
      <c r="AM41" s="236" t="str">
        <f t="shared" ca="1" si="4"/>
        <v/>
      </c>
      <c r="AQ41" s="286" t="s">
        <v>42</v>
      </c>
      <c r="AR41" s="286" t="s">
        <v>16</v>
      </c>
      <c r="AS41" s="286">
        <v>19</v>
      </c>
      <c r="AT41" s="286" t="s">
        <v>320</v>
      </c>
      <c r="AV41" s="234">
        <f t="shared" si="21"/>
        <v>14</v>
      </c>
      <c r="AW41" s="234">
        <f>COUNTIF( AV$7:AV41, AV41 )</f>
        <v>14</v>
      </c>
      <c r="AX41" s="287">
        <f t="shared" si="22"/>
        <v>15.4</v>
      </c>
      <c r="AY41" s="234">
        <f t="shared" si="23"/>
        <v>27</v>
      </c>
      <c r="AZ41" s="236"/>
      <c r="BA41" s="236"/>
      <c r="BC41" s="234">
        <f t="shared" ca="1" si="24"/>
        <v>35</v>
      </c>
      <c r="BD41" s="288">
        <f t="shared" ca="1" si="6"/>
        <v>23</v>
      </c>
      <c r="BF41" s="240" t="str">
        <f t="shared" ca="1" si="25"/>
        <v>FirstEnergy Corp.</v>
      </c>
      <c r="BG41" s="240" t="str">
        <f t="shared" ca="1" si="25"/>
        <v>BBB</v>
      </c>
      <c r="BH41" s="240">
        <f t="shared" ca="1" si="25"/>
        <v>18</v>
      </c>
      <c r="BI41" s="240" t="str">
        <f t="shared" ca="1" si="25"/>
        <v>FE</v>
      </c>
    </row>
    <row r="42" spans="1:61" ht="13.8" x14ac:dyDescent="0.25">
      <c r="A42" s="303" t="s">
        <v>20</v>
      </c>
      <c r="B42" s="304" t="s">
        <v>28</v>
      </c>
      <c r="C42" s="304">
        <v>18</v>
      </c>
      <c r="D42" s="304" t="s">
        <v>302</v>
      </c>
      <c r="E42" s="305" t="str">
        <f t="shared" ca="1" si="8"/>
        <v>R</v>
      </c>
      <c r="F42" s="306"/>
      <c r="G42" s="307">
        <f t="shared" ca="1" si="1"/>
        <v>28</v>
      </c>
      <c r="H42" s="250"/>
      <c r="I42" s="321"/>
      <c r="J42" s="262"/>
      <c r="K42" s="321"/>
      <c r="L42" s="264"/>
      <c r="M42" s="235"/>
      <c r="N42" s="321"/>
      <c r="Q42" s="321"/>
      <c r="T42" s="321"/>
      <c r="W42" s="321"/>
      <c r="AF42" s="236">
        <f t="shared" si="2"/>
        <v>1</v>
      </c>
      <c r="AG42" s="236" t="str">
        <f t="shared" ca="1" si="3"/>
        <v/>
      </c>
      <c r="AH42" s="236" t="str">
        <f t="shared" ca="1" si="18"/>
        <v/>
      </c>
      <c r="AJ42" s="236">
        <f t="shared" ca="1" si="19"/>
        <v>42</v>
      </c>
      <c r="AK42" s="236" t="str">
        <f t="shared" ca="1" si="20"/>
        <v>BBB</v>
      </c>
      <c r="AL42" s="236">
        <f t="shared" ca="1" si="20"/>
        <v>18</v>
      </c>
      <c r="AM42" s="236" t="str">
        <f t="shared" ca="1" si="4"/>
        <v/>
      </c>
      <c r="AQ42" s="286" t="s">
        <v>24</v>
      </c>
      <c r="AR42" s="286" t="s">
        <v>16</v>
      </c>
      <c r="AS42" s="286">
        <v>19</v>
      </c>
      <c r="AT42" s="286" t="s">
        <v>323</v>
      </c>
      <c r="AV42" s="234">
        <f t="shared" si="21"/>
        <v>14</v>
      </c>
      <c r="AW42" s="234">
        <f>COUNTIF( AV$7:AV42, AV42 )</f>
        <v>15</v>
      </c>
      <c r="AX42" s="287">
        <f t="shared" si="22"/>
        <v>15.5</v>
      </c>
      <c r="AY42" s="234">
        <f t="shared" si="23"/>
        <v>28</v>
      </c>
      <c r="AZ42" s="236"/>
      <c r="BA42" s="236"/>
      <c r="BC42" s="234">
        <f t="shared" ca="1" si="24"/>
        <v>36</v>
      </c>
      <c r="BD42" s="288">
        <f t="shared" ca="1" si="6"/>
        <v>25</v>
      </c>
      <c r="BF42" s="240" t="str">
        <f t="shared" ca="1" si="25"/>
        <v>IDACORP, Inc.</v>
      </c>
      <c r="BG42" s="240" t="str">
        <f t="shared" ca="1" si="25"/>
        <v>BBB</v>
      </c>
      <c r="BH42" s="240">
        <f t="shared" ca="1" si="25"/>
        <v>18</v>
      </c>
      <c r="BI42" s="240" t="str">
        <f t="shared" ca="1" si="25"/>
        <v>IDA</v>
      </c>
    </row>
    <row r="43" spans="1:61" ht="13.8" x14ac:dyDescent="0.25">
      <c r="A43" s="303" t="s">
        <v>58</v>
      </c>
      <c r="B43" s="304" t="s">
        <v>28</v>
      </c>
      <c r="C43" s="304">
        <v>18</v>
      </c>
      <c r="D43" s="304" t="s">
        <v>445</v>
      </c>
      <c r="E43" s="305" t="str">
        <f t="shared" ca="1" si="8"/>
        <v>R</v>
      </c>
      <c r="F43" s="306"/>
      <c r="G43" s="307">
        <f t="shared" ca="1" si="1"/>
        <v>55</v>
      </c>
      <c r="H43" s="250"/>
      <c r="I43" s="321"/>
      <c r="J43" s="262"/>
      <c r="K43" s="321"/>
      <c r="L43" s="235"/>
      <c r="M43" s="235"/>
      <c r="N43" s="321"/>
      <c r="Q43" s="321"/>
      <c r="T43" s="321"/>
      <c r="W43" s="321"/>
      <c r="AF43" s="236">
        <f t="shared" si="2"/>
        <v>1</v>
      </c>
      <c r="AG43" s="236" t="str">
        <f t="shared" ca="1" si="3"/>
        <v/>
      </c>
      <c r="AH43" s="236" t="str">
        <f t="shared" ca="1" si="18"/>
        <v/>
      </c>
      <c r="AJ43" s="236">
        <f t="shared" ca="1" si="19"/>
        <v>43</v>
      </c>
      <c r="AK43" s="236" t="str">
        <f t="shared" ca="1" si="20"/>
        <v>BBB</v>
      </c>
      <c r="AL43" s="236">
        <f t="shared" ca="1" si="20"/>
        <v>18</v>
      </c>
      <c r="AM43" s="236" t="str">
        <f t="shared" ca="1" si="4"/>
        <v/>
      </c>
      <c r="AQ43" s="286" t="s">
        <v>43</v>
      </c>
      <c r="AR43" s="286" t="s">
        <v>10</v>
      </c>
      <c r="AS43" s="286">
        <v>20</v>
      </c>
      <c r="AT43" s="286" t="s">
        <v>324</v>
      </c>
      <c r="AV43" s="234">
        <f t="shared" si="21"/>
        <v>3</v>
      </c>
      <c r="AW43" s="234">
        <f>COUNTIF( AV$7:AV43, AV43 )</f>
        <v>8</v>
      </c>
      <c r="AX43" s="287">
        <f t="shared" si="22"/>
        <v>3.8</v>
      </c>
      <c r="AY43" s="234">
        <f t="shared" si="23"/>
        <v>10</v>
      </c>
      <c r="AZ43" s="236"/>
      <c r="BA43" s="236"/>
      <c r="BC43" s="234">
        <f t="shared" ca="1" si="24"/>
        <v>37</v>
      </c>
      <c r="BD43" s="288">
        <f t="shared" ca="1" si="6"/>
        <v>26</v>
      </c>
      <c r="BF43" s="240" t="str">
        <f t="shared" ca="1" si="25"/>
        <v>IPALCO Enterprises, Inc.</v>
      </c>
      <c r="BG43" s="240" t="str">
        <f t="shared" ca="1" si="25"/>
        <v>BBB</v>
      </c>
      <c r="BH43" s="240">
        <f t="shared" ca="1" si="25"/>
        <v>18</v>
      </c>
      <c r="BI43" s="240" t="str">
        <f t="shared" ca="1" si="25"/>
        <v>**IPALCO</v>
      </c>
    </row>
    <row r="44" spans="1:61" ht="13.8" x14ac:dyDescent="0.25">
      <c r="A44" s="303" t="s">
        <v>66</v>
      </c>
      <c r="B44" s="304" t="s">
        <v>28</v>
      </c>
      <c r="C44" s="304">
        <v>18</v>
      </c>
      <c r="D44" s="304" t="s">
        <v>314</v>
      </c>
      <c r="E44" s="305" t="str">
        <f t="shared" ca="1" si="8"/>
        <v>R</v>
      </c>
      <c r="F44" s="306"/>
      <c r="G44" s="307">
        <f t="shared" ca="1" si="1"/>
        <v>33</v>
      </c>
      <c r="H44" s="250"/>
      <c r="I44" s="321"/>
      <c r="J44" s="262"/>
      <c r="K44" s="321"/>
      <c r="L44" s="235"/>
      <c r="M44" s="235"/>
      <c r="N44" s="321"/>
      <c r="Q44" s="321"/>
      <c r="T44" s="321"/>
      <c r="W44" s="321"/>
      <c r="AF44" s="236">
        <f t="shared" si="2"/>
        <v>1</v>
      </c>
      <c r="AG44" s="236" t="str">
        <f t="shared" ca="1" si="3"/>
        <v/>
      </c>
      <c r="AH44" s="236" t="str">
        <f t="shared" ca="1" si="18"/>
        <v/>
      </c>
      <c r="AJ44" s="236">
        <f t="shared" ca="1" si="19"/>
        <v>44</v>
      </c>
      <c r="AK44" s="236" t="str">
        <f t="shared" ca="1" si="20"/>
        <v>BBB</v>
      </c>
      <c r="AL44" s="236">
        <f t="shared" ca="1" si="20"/>
        <v>18</v>
      </c>
      <c r="AM44" s="236" t="str">
        <f t="shared" ca="1" si="4"/>
        <v/>
      </c>
      <c r="AQ44" s="286" t="s">
        <v>45</v>
      </c>
      <c r="AR44" s="286" t="s">
        <v>16</v>
      </c>
      <c r="AS44" s="286">
        <v>19</v>
      </c>
      <c r="AT44" s="286" t="s">
        <v>318</v>
      </c>
      <c r="AV44" s="234">
        <f t="shared" si="21"/>
        <v>14</v>
      </c>
      <c r="AW44" s="234">
        <f>COUNTIF( AV$7:AV44, AV44 )</f>
        <v>16</v>
      </c>
      <c r="AX44" s="287">
        <f t="shared" si="22"/>
        <v>15.6</v>
      </c>
      <c r="AY44" s="234">
        <f t="shared" si="23"/>
        <v>29</v>
      </c>
      <c r="AZ44" s="236"/>
      <c r="BA44" s="236"/>
      <c r="BC44" s="234">
        <f t="shared" ca="1" si="24"/>
        <v>38</v>
      </c>
      <c r="BD44" s="288">
        <f t="shared" ca="1" si="6"/>
        <v>30</v>
      </c>
      <c r="BF44" s="240" t="str">
        <f t="shared" ca="1" si="25"/>
        <v>NorthWestern Corporation</v>
      </c>
      <c r="BG44" s="240" t="str">
        <f t="shared" ca="1" si="25"/>
        <v>BBB</v>
      </c>
      <c r="BH44" s="240">
        <f t="shared" ca="1" si="25"/>
        <v>18</v>
      </c>
      <c r="BI44" s="240" t="str">
        <f t="shared" ca="1" si="25"/>
        <v>NWE</v>
      </c>
    </row>
    <row r="45" spans="1:61" ht="13.8" x14ac:dyDescent="0.25">
      <c r="A45" s="303" t="s">
        <v>22</v>
      </c>
      <c r="B45" s="304" t="s">
        <v>28</v>
      </c>
      <c r="C45" s="304">
        <v>18</v>
      </c>
      <c r="D45" s="304" t="s">
        <v>316</v>
      </c>
      <c r="E45" s="305" t="str">
        <f t="shared" ca="1" si="8"/>
        <v>R</v>
      </c>
      <c r="F45" s="306"/>
      <c r="G45" s="307">
        <f t="shared" ca="1" si="1"/>
        <v>35</v>
      </c>
      <c r="H45" s="250"/>
      <c r="I45" s="321"/>
      <c r="J45" s="262"/>
      <c r="K45" s="321"/>
      <c r="L45" s="235"/>
      <c r="M45" s="235"/>
      <c r="N45" s="321"/>
      <c r="Q45" s="321"/>
      <c r="T45" s="321"/>
      <c r="W45" s="321"/>
      <c r="AF45" s="236">
        <f t="shared" si="2"/>
        <v>1</v>
      </c>
      <c r="AG45" s="236" t="str">
        <f t="shared" ca="1" si="3"/>
        <v/>
      </c>
      <c r="AH45" s="236" t="str">
        <f t="shared" ca="1" si="18"/>
        <v/>
      </c>
      <c r="AJ45" s="236">
        <f t="shared" ca="1" si="19"/>
        <v>45</v>
      </c>
      <c r="AK45" s="236" t="str">
        <f t="shared" ca="1" si="20"/>
        <v>BBB</v>
      </c>
      <c r="AL45" s="236">
        <f t="shared" ca="1" si="20"/>
        <v>18</v>
      </c>
      <c r="AM45" s="236" t="str">
        <f t="shared" ca="1" si="4"/>
        <v/>
      </c>
      <c r="AQ45" s="286" t="s">
        <v>54</v>
      </c>
      <c r="AR45" s="286" t="s">
        <v>49</v>
      </c>
      <c r="AS45" s="286">
        <v>17</v>
      </c>
      <c r="AT45" s="286" t="s">
        <v>448</v>
      </c>
      <c r="AV45" s="234">
        <f t="shared" si="21"/>
        <v>40</v>
      </c>
      <c r="AW45" s="234">
        <f>COUNTIF( AV$7:AV45, AV45 )</f>
        <v>4</v>
      </c>
      <c r="AX45" s="287">
        <f t="shared" si="22"/>
        <v>40.4</v>
      </c>
      <c r="AY45" s="234">
        <f t="shared" si="23"/>
        <v>43</v>
      </c>
      <c r="AZ45" s="236"/>
      <c r="BA45" s="236"/>
      <c r="BC45" s="234">
        <f t="shared" ca="1" si="24"/>
        <v>39</v>
      </c>
      <c r="BD45" s="288">
        <f t="shared" ca="1" si="6"/>
        <v>32</v>
      </c>
      <c r="BF45" s="240" t="str">
        <f t="shared" ca="1" si="25"/>
        <v>Otter Tail Corporation</v>
      </c>
      <c r="BG45" s="240" t="str">
        <f t="shared" ca="1" si="25"/>
        <v>BBB</v>
      </c>
      <c r="BH45" s="240">
        <f t="shared" ca="1" si="25"/>
        <v>18</v>
      </c>
      <c r="BI45" s="240" t="str">
        <f t="shared" ca="1" si="25"/>
        <v>OTTR</v>
      </c>
    </row>
    <row r="46" spans="1:61" ht="13.8" x14ac:dyDescent="0.25">
      <c r="A46" s="303" t="s">
        <v>30</v>
      </c>
      <c r="B46" s="304" t="s">
        <v>49</v>
      </c>
      <c r="C46" s="304">
        <v>17</v>
      </c>
      <c r="D46" s="304" t="s">
        <v>540</v>
      </c>
      <c r="E46" s="305" t="str">
        <f t="shared" ca="1" si="8"/>
        <v>R</v>
      </c>
      <c r="F46" s="306"/>
      <c r="G46" s="307">
        <f t="shared" ca="1" si="1"/>
        <v>53</v>
      </c>
      <c r="H46" s="250"/>
      <c r="I46" s="262"/>
      <c r="K46" s="262"/>
      <c r="N46" s="257"/>
      <c r="W46" s="262"/>
      <c r="AF46" s="236">
        <f t="shared" si="2"/>
        <v>0</v>
      </c>
      <c r="AG46" s="236" t="str">
        <f t="shared" ca="1" si="3"/>
        <v/>
      </c>
      <c r="AH46" s="236" t="str">
        <f t="shared" ca="1" si="18"/>
        <v/>
      </c>
      <c r="AJ46" s="236">
        <f t="shared" ca="1" si="19"/>
        <v>46</v>
      </c>
      <c r="AK46" s="236" t="str">
        <f t="shared" ca="1" si="20"/>
        <v>BBB-</v>
      </c>
      <c r="AL46" s="236">
        <f t="shared" ca="1" si="20"/>
        <v>17</v>
      </c>
      <c r="AM46" s="236" t="str">
        <f t="shared" ca="1" si="4"/>
        <v/>
      </c>
      <c r="AQ46" s="286" t="s">
        <v>25</v>
      </c>
      <c r="AR46" s="286" t="s">
        <v>16</v>
      </c>
      <c r="AS46" s="286">
        <v>19</v>
      </c>
      <c r="AT46" s="286" t="s">
        <v>328</v>
      </c>
      <c r="AV46" s="234">
        <f t="shared" si="21"/>
        <v>14</v>
      </c>
      <c r="AW46" s="234">
        <f>COUNTIF( AV$7:AV46, AV46 )</f>
        <v>17</v>
      </c>
      <c r="AX46" s="287">
        <f t="shared" si="22"/>
        <v>15.7</v>
      </c>
      <c r="AY46" s="234">
        <f t="shared" si="23"/>
        <v>30</v>
      </c>
      <c r="AZ46" s="236"/>
      <c r="BA46" s="236"/>
      <c r="BC46" s="234">
        <f t="shared" ca="1" si="24"/>
        <v>40</v>
      </c>
      <c r="BD46" s="288">
        <f t="shared" ca="1" si="6"/>
        <v>10</v>
      </c>
      <c r="BF46" s="240" t="str">
        <f t="shared" ca="1" si="25"/>
        <v>Cleco Corporation</v>
      </c>
      <c r="BG46" s="240" t="str">
        <f t="shared" ca="1" si="25"/>
        <v>BBB-</v>
      </c>
      <c r="BH46" s="240">
        <f t="shared" ca="1" si="25"/>
        <v>17</v>
      </c>
      <c r="BI46" s="240" t="str">
        <f t="shared" ca="1" si="25"/>
        <v>**CNL</v>
      </c>
    </row>
    <row r="47" spans="1:61" ht="13.8" x14ac:dyDescent="0.25">
      <c r="A47" s="303" t="s">
        <v>64</v>
      </c>
      <c r="B47" s="304" t="s">
        <v>49</v>
      </c>
      <c r="C47" s="304">
        <v>17</v>
      </c>
      <c r="D47" s="304" t="s">
        <v>442</v>
      </c>
      <c r="E47" s="305" t="str">
        <f t="shared" ca="1" si="8"/>
        <v>R</v>
      </c>
      <c r="F47" s="306"/>
      <c r="G47" s="307">
        <f t="shared" ca="1" si="1"/>
        <v>54</v>
      </c>
      <c r="H47" s="250"/>
      <c r="I47" s="250"/>
      <c r="J47" s="258" t="s">
        <v>546</v>
      </c>
      <c r="K47" s="262"/>
      <c r="M47" s="253"/>
      <c r="N47" s="253"/>
      <c r="AF47" s="236">
        <f t="shared" si="2"/>
        <v>0</v>
      </c>
      <c r="AG47" s="236" t="str">
        <f t="shared" ca="1" si="3"/>
        <v/>
      </c>
      <c r="AH47" s="236" t="str">
        <f t="shared" ca="1" si="18"/>
        <v/>
      </c>
      <c r="AJ47" s="236">
        <f t="shared" ca="1" si="19"/>
        <v>47</v>
      </c>
      <c r="AK47" s="236" t="str">
        <f t="shared" ca="1" si="20"/>
        <v>BBB-</v>
      </c>
      <c r="AL47" s="236">
        <f t="shared" ca="1" si="20"/>
        <v>17</v>
      </c>
      <c r="AM47" s="236" t="str">
        <f t="shared" ca="1" si="4"/>
        <v/>
      </c>
      <c r="AQ47" s="286" t="s">
        <v>7</v>
      </c>
      <c r="AR47" s="286" t="s">
        <v>10</v>
      </c>
      <c r="AS47" s="286">
        <v>20</v>
      </c>
      <c r="AT47" s="289" t="s">
        <v>327</v>
      </c>
      <c r="AV47" s="234">
        <f t="shared" si="21"/>
        <v>3</v>
      </c>
      <c r="AW47" s="234">
        <f>COUNTIF( AV$7:AV47, AV47 )</f>
        <v>9</v>
      </c>
      <c r="AX47" s="287">
        <f t="shared" si="22"/>
        <v>3.9</v>
      </c>
      <c r="AY47" s="234">
        <f t="shared" si="23"/>
        <v>11</v>
      </c>
      <c r="AZ47" s="236"/>
      <c r="BA47" s="236"/>
      <c r="BC47" s="234">
        <f t="shared" ca="1" si="24"/>
        <v>41</v>
      </c>
      <c r="BD47" s="288">
        <f t="shared" ca="1" si="6"/>
        <v>14</v>
      </c>
      <c r="BF47" s="240" t="str">
        <f t="shared" ca="1" si="25"/>
        <v>DPL Inc.</v>
      </c>
      <c r="BG47" s="240" t="str">
        <f t="shared" ca="1" si="25"/>
        <v>BBB-</v>
      </c>
      <c r="BH47" s="240">
        <f t="shared" ca="1" si="25"/>
        <v>17</v>
      </c>
      <c r="BI47" s="240" t="str">
        <f t="shared" ca="1" si="25"/>
        <v>**DPL</v>
      </c>
    </row>
    <row r="48" spans="1:61" ht="13.8" x14ac:dyDescent="0.25">
      <c r="A48" s="303" t="s">
        <v>39</v>
      </c>
      <c r="B48" s="304" t="s">
        <v>49</v>
      </c>
      <c r="C48" s="304">
        <v>17</v>
      </c>
      <c r="D48" s="304" t="s">
        <v>301</v>
      </c>
      <c r="E48" s="305" t="str">
        <f t="shared" ca="1" si="8"/>
        <v>MR</v>
      </c>
      <c r="F48" s="306"/>
      <c r="G48" s="307">
        <f t="shared" ca="1" si="1"/>
        <v>27</v>
      </c>
      <c r="H48" s="250"/>
      <c r="I48" s="250"/>
      <c r="K48" s="262"/>
      <c r="M48" s="253"/>
      <c r="N48" s="253"/>
      <c r="AF48" s="236">
        <f t="shared" si="2"/>
        <v>0</v>
      </c>
      <c r="AG48" s="236" t="str">
        <f t="shared" ca="1" si="3"/>
        <v/>
      </c>
      <c r="AH48" s="236" t="str">
        <f t="shared" ca="1" si="18"/>
        <v/>
      </c>
      <c r="AJ48" s="236">
        <f t="shared" ca="1" si="19"/>
        <v>48</v>
      </c>
      <c r="AK48" s="236" t="str">
        <f t="shared" ca="1" si="20"/>
        <v>BBB-</v>
      </c>
      <c r="AL48" s="236">
        <f t="shared" ca="1" si="20"/>
        <v>17</v>
      </c>
      <c r="AM48" s="236" t="str">
        <f t="shared" ca="1" si="4"/>
        <v/>
      </c>
      <c r="AQ48" s="286" t="s">
        <v>76</v>
      </c>
      <c r="AR48" s="286" t="s">
        <v>16</v>
      </c>
      <c r="AS48" s="286">
        <v>19</v>
      </c>
      <c r="AT48" s="286" t="s">
        <v>333</v>
      </c>
      <c r="AV48" s="234">
        <f t="shared" si="21"/>
        <v>14</v>
      </c>
      <c r="AW48" s="234">
        <f>COUNTIF( AV$7:AV48, AV48 )</f>
        <v>18</v>
      </c>
      <c r="AX48" s="287">
        <f t="shared" si="22"/>
        <v>15.8</v>
      </c>
      <c r="AY48" s="234">
        <f t="shared" si="23"/>
        <v>31</v>
      </c>
      <c r="AZ48" s="236"/>
      <c r="BA48" s="236"/>
      <c r="BC48" s="234">
        <f t="shared" ca="1" si="24"/>
        <v>42</v>
      </c>
      <c r="BD48" s="288">
        <f t="shared" ca="1" si="6"/>
        <v>24</v>
      </c>
      <c r="BF48" s="240" t="str">
        <f t="shared" ca="1" si="25"/>
        <v>Hawaiian Electric Industries, Inc.</v>
      </c>
      <c r="BG48" s="240" t="str">
        <f t="shared" ca="1" si="25"/>
        <v>BBB-</v>
      </c>
      <c r="BH48" s="240">
        <f t="shared" ca="1" si="25"/>
        <v>17</v>
      </c>
      <c r="BI48" s="240" t="str">
        <f t="shared" ca="1" si="25"/>
        <v>HE</v>
      </c>
    </row>
    <row r="49" spans="1:61" ht="13.8" x14ac:dyDescent="0.25">
      <c r="A49" s="303" t="s">
        <v>54</v>
      </c>
      <c r="B49" s="304" t="s">
        <v>49</v>
      </c>
      <c r="C49" s="304">
        <v>17</v>
      </c>
      <c r="D49" s="304" t="s">
        <v>448</v>
      </c>
      <c r="E49" s="305" t="str">
        <f t="shared" ca="1" si="8"/>
        <v>R</v>
      </c>
      <c r="F49" s="306"/>
      <c r="G49" s="307">
        <f t="shared" ca="1" si="1"/>
        <v>57</v>
      </c>
      <c r="H49" s="250"/>
      <c r="I49" s="250"/>
      <c r="J49" s="262"/>
      <c r="K49" s="262"/>
      <c r="M49" s="253"/>
      <c r="N49" s="253"/>
      <c r="AF49" s="236">
        <f t="shared" si="2"/>
        <v>0</v>
      </c>
      <c r="AG49" s="236" t="str">
        <f t="shared" ca="1" si="3"/>
        <v/>
      </c>
      <c r="AH49" s="236" t="str">
        <f t="shared" ca="1" si="18"/>
        <v/>
      </c>
      <c r="AJ49" s="236">
        <f t="shared" ca="1" si="19"/>
        <v>49</v>
      </c>
      <c r="AK49" s="236" t="str">
        <f t="shared" ca="1" si="20"/>
        <v>BBB-</v>
      </c>
      <c r="AL49" s="236">
        <f t="shared" ca="1" si="20"/>
        <v>17</v>
      </c>
      <c r="AM49" s="236" t="str">
        <f t="shared" ca="1" si="4"/>
        <v/>
      </c>
      <c r="AQ49" s="286" t="s">
        <v>26</v>
      </c>
      <c r="AR49" s="286" t="s">
        <v>10</v>
      </c>
      <c r="AS49" s="286">
        <v>20</v>
      </c>
      <c r="AT49" s="286" t="s">
        <v>335</v>
      </c>
      <c r="AV49" s="234">
        <f t="shared" si="21"/>
        <v>3</v>
      </c>
      <c r="AW49" s="234">
        <f>COUNTIF( AV$7:AV49, AV49 )</f>
        <v>10</v>
      </c>
      <c r="AX49" s="287">
        <f t="shared" si="22"/>
        <v>4</v>
      </c>
      <c r="AY49" s="234">
        <f t="shared" si="23"/>
        <v>12</v>
      </c>
      <c r="AZ49" s="236"/>
      <c r="BA49" s="236"/>
      <c r="BC49" s="234">
        <f t="shared" ca="1" si="24"/>
        <v>43</v>
      </c>
      <c r="BD49" s="288">
        <f t="shared" ca="1" si="6"/>
        <v>39</v>
      </c>
      <c r="BF49" s="240" t="str">
        <f t="shared" ca="1" si="25"/>
        <v>Puget Energy, Inc.</v>
      </c>
      <c r="BG49" s="240" t="str">
        <f t="shared" ca="1" si="25"/>
        <v>BBB-</v>
      </c>
      <c r="BH49" s="240">
        <f t="shared" ca="1" si="25"/>
        <v>17</v>
      </c>
      <c r="BI49" s="240" t="str">
        <f t="shared" ca="1" si="25"/>
        <v>**PSD</v>
      </c>
    </row>
    <row r="50" spans="1:61" ht="13.8" x14ac:dyDescent="0.25">
      <c r="A50" s="303" t="s">
        <v>53</v>
      </c>
      <c r="B50" s="304" t="s">
        <v>86</v>
      </c>
      <c r="C50" s="304">
        <v>3</v>
      </c>
      <c r="D50" s="304" t="s">
        <v>317</v>
      </c>
      <c r="E50" s="305" t="str">
        <f t="shared" ca="1" si="8"/>
        <v>R</v>
      </c>
      <c r="F50" s="306"/>
      <c r="G50" s="307">
        <f t="shared" ca="1" si="1"/>
        <v>36</v>
      </c>
      <c r="H50" s="250"/>
      <c r="I50" s="250"/>
      <c r="J50" s="262"/>
      <c r="K50" s="262"/>
      <c r="L50" s="235"/>
      <c r="M50" s="257"/>
      <c r="N50" s="257"/>
      <c r="AF50" s="236">
        <f t="shared" si="2"/>
        <v>1</v>
      </c>
      <c r="AG50" s="236" t="str">
        <f t="shared" ca="1" si="3"/>
        <v/>
      </c>
      <c r="AH50" s="236" t="str">
        <f t="shared" ca="1" si="18"/>
        <v/>
      </c>
      <c r="AJ50" s="236">
        <f t="shared" ca="1" si="19"/>
        <v>50</v>
      </c>
      <c r="AK50" s="236" t="str">
        <f t="shared" ca="1" si="20"/>
        <v>D</v>
      </c>
      <c r="AL50" s="236">
        <f t="shared" ca="1" si="20"/>
        <v>3</v>
      </c>
      <c r="AM50" s="236" t="str">
        <f t="shared" ca="1" si="4"/>
        <v/>
      </c>
      <c r="AQ50" s="286" t="s">
        <v>257</v>
      </c>
      <c r="AR50" s="286" t="s">
        <v>10</v>
      </c>
      <c r="AS50" s="286">
        <v>20</v>
      </c>
      <c r="AT50" s="286" t="s">
        <v>337</v>
      </c>
      <c r="AV50" s="234">
        <f t="shared" si="21"/>
        <v>3</v>
      </c>
      <c r="AW50" s="234">
        <f>COUNTIF( AV$7:AV50, AV50 )</f>
        <v>11</v>
      </c>
      <c r="AX50" s="287">
        <f t="shared" si="22"/>
        <v>4.0999999999999996</v>
      </c>
      <c r="AY50" s="234">
        <f t="shared" si="23"/>
        <v>13</v>
      </c>
      <c r="AZ50" s="236"/>
      <c r="BA50" s="236"/>
      <c r="BC50" s="234">
        <f t="shared" ca="1" si="24"/>
        <v>44</v>
      </c>
      <c r="BD50" s="288">
        <f t="shared" ca="1" si="6"/>
        <v>33</v>
      </c>
      <c r="BF50" s="240" t="str">
        <f t="shared" ca="1" si="25"/>
        <v>PG&amp;E Corporation</v>
      </c>
      <c r="BG50" s="240" t="str">
        <f t="shared" ca="1" si="25"/>
        <v>D</v>
      </c>
      <c r="BH50" s="240">
        <f t="shared" ca="1" si="25"/>
        <v>3</v>
      </c>
      <c r="BI50" s="240" t="str">
        <f t="shared" ca="1" si="25"/>
        <v>PCG</v>
      </c>
    </row>
    <row r="51" spans="1:61" ht="13.8" x14ac:dyDescent="0.25">
      <c r="A51" s="303"/>
      <c r="B51" s="304"/>
      <c r="C51" s="304"/>
      <c r="D51" s="304"/>
      <c r="E51" s="305"/>
      <c r="F51" s="306"/>
      <c r="G51" s="307"/>
      <c r="H51" s="250"/>
      <c r="I51" s="250"/>
      <c r="J51" s="262"/>
      <c r="K51" s="262"/>
      <c r="L51" s="235"/>
      <c r="M51" s="257"/>
      <c r="N51" s="257"/>
      <c r="AF51" s="236">
        <f t="shared" si="2"/>
        <v>0</v>
      </c>
      <c r="AG51" s="236" t="str">
        <f t="shared" si="3"/>
        <v/>
      </c>
      <c r="AH51" s="236" t="str">
        <f t="shared" si="18"/>
        <v/>
      </c>
      <c r="AJ51" s="236" t="e">
        <f t="shared" ca="1" si="19"/>
        <v>#N/A</v>
      </c>
      <c r="AK51" s="236" t="str">
        <f t="shared" ca="1" si="20"/>
        <v/>
      </c>
      <c r="AL51" s="236" t="str">
        <f t="shared" ca="1" si="20"/>
        <v/>
      </c>
      <c r="AM51" s="236" t="str">
        <f t="shared" ca="1" si="4"/>
        <v/>
      </c>
      <c r="AQ51" s="286"/>
      <c r="AR51" s="286"/>
      <c r="AS51" s="286"/>
      <c r="AT51" s="286"/>
      <c r="AV51" s="234">
        <f t="shared" si="21"/>
        <v>99</v>
      </c>
      <c r="AW51" s="234">
        <f>COUNTIF( AV$7:AV51, AV51 )</f>
        <v>1</v>
      </c>
      <c r="AX51" s="287">
        <f t="shared" si="22"/>
        <v>99.1</v>
      </c>
      <c r="AY51" s="234">
        <f t="shared" si="23"/>
        <v>45</v>
      </c>
      <c r="AZ51" s="236"/>
      <c r="BA51" s="236"/>
      <c r="BC51" s="234">
        <f t="shared" ca="1" si="24"/>
        <v>45</v>
      </c>
      <c r="BD51" s="288">
        <f t="shared" ca="1" si="6"/>
        <v>45</v>
      </c>
      <c r="BF51" s="240">
        <f t="shared" ca="1" si="25"/>
        <v>0</v>
      </c>
      <c r="BG51" s="240">
        <f t="shared" ca="1" si="25"/>
        <v>0</v>
      </c>
      <c r="BH51" s="240">
        <f t="shared" ca="1" si="25"/>
        <v>0</v>
      </c>
      <c r="BI51" s="240">
        <f t="shared" ca="1" si="25"/>
        <v>0</v>
      </c>
    </row>
    <row r="52" spans="1:61" ht="13.8" x14ac:dyDescent="0.25">
      <c r="A52" s="303"/>
      <c r="B52" s="304"/>
      <c r="C52" s="304"/>
      <c r="D52" s="304"/>
      <c r="E52" s="305"/>
      <c r="F52" s="306"/>
      <c r="G52" s="307"/>
      <c r="H52" s="250"/>
      <c r="I52" s="250"/>
      <c r="J52" s="262"/>
      <c r="K52" s="262"/>
      <c r="AF52" s="236">
        <f t="shared" si="2"/>
        <v>0</v>
      </c>
      <c r="AG52" s="236" t="str">
        <f t="shared" si="3"/>
        <v/>
      </c>
      <c r="AH52" s="236" t="str">
        <f t="shared" si="18"/>
        <v/>
      </c>
      <c r="AJ52" s="236" t="e">
        <f t="shared" ca="1" si="19"/>
        <v>#N/A</v>
      </c>
      <c r="AK52" s="236" t="str">
        <f t="shared" ca="1" si="20"/>
        <v/>
      </c>
      <c r="AL52" s="236" t="str">
        <f t="shared" ca="1" si="20"/>
        <v/>
      </c>
      <c r="AM52" s="236" t="str">
        <f t="shared" ca="1" si="4"/>
        <v/>
      </c>
      <c r="AQ52" s="286"/>
      <c r="AR52" s="286"/>
      <c r="AS52" s="286"/>
      <c r="AT52" s="286"/>
      <c r="AV52" s="234">
        <f t="shared" si="21"/>
        <v>99</v>
      </c>
      <c r="AW52" s="234">
        <f>COUNTIF( AV$7:AV52, AV52 )</f>
        <v>2</v>
      </c>
      <c r="AX52" s="287">
        <f t="shared" si="22"/>
        <v>99.2</v>
      </c>
      <c r="AY52" s="234">
        <f t="shared" si="23"/>
        <v>46</v>
      </c>
      <c r="AZ52" s="236"/>
      <c r="BA52" s="236"/>
      <c r="BC52" s="234">
        <f t="shared" ca="1" si="24"/>
        <v>46</v>
      </c>
      <c r="BD52" s="288">
        <f t="shared" ca="1" si="6"/>
        <v>46</v>
      </c>
      <c r="BF52" s="240">
        <f t="shared" ca="1" si="25"/>
        <v>0</v>
      </c>
      <c r="BG52" s="240">
        <f t="shared" ca="1" si="25"/>
        <v>0</v>
      </c>
      <c r="BH52" s="240">
        <f t="shared" ca="1" si="25"/>
        <v>0</v>
      </c>
      <c r="BI52" s="240">
        <f t="shared" ca="1" si="25"/>
        <v>0</v>
      </c>
    </row>
    <row r="53" spans="1:61" ht="13.8" x14ac:dyDescent="0.25">
      <c r="A53" s="303"/>
      <c r="B53" s="304"/>
      <c r="C53" s="304"/>
      <c r="D53" s="304"/>
      <c r="E53" s="305"/>
      <c r="F53" s="306"/>
      <c r="G53" s="307" t="str">
        <f t="shared" ca="1" si="1"/>
        <v/>
      </c>
      <c r="H53" s="250"/>
      <c r="I53" s="250"/>
      <c r="J53" s="262"/>
      <c r="K53" s="262"/>
      <c r="AF53" s="236">
        <f t="shared" si="2"/>
        <v>0</v>
      </c>
      <c r="AG53" s="236" t="str">
        <f t="shared" si="3"/>
        <v/>
      </c>
      <c r="AH53" s="236" t="str">
        <f t="shared" si="18"/>
        <v/>
      </c>
      <c r="AJ53" s="236" t="e">
        <f t="shared" ca="1" si="19"/>
        <v>#N/A</v>
      </c>
      <c r="AK53" s="236" t="str">
        <f t="shared" ca="1" si="20"/>
        <v/>
      </c>
      <c r="AL53" s="236" t="str">
        <f t="shared" ca="1" si="20"/>
        <v/>
      </c>
      <c r="AM53" s="236" t="str">
        <f t="shared" ca="1" si="4"/>
        <v/>
      </c>
      <c r="AQ53" s="286"/>
      <c r="AR53" s="286"/>
      <c r="AS53" s="286"/>
      <c r="AT53" s="286"/>
      <c r="AV53" s="234">
        <f t="shared" si="21"/>
        <v>99</v>
      </c>
      <c r="AW53" s="234">
        <f>COUNTIF( AV$7:AV53, AV53 )</f>
        <v>3</v>
      </c>
      <c r="AX53" s="287">
        <f t="shared" si="22"/>
        <v>99.3</v>
      </c>
      <c r="AY53" s="234">
        <f t="shared" si="23"/>
        <v>47</v>
      </c>
      <c r="AZ53" s="236"/>
      <c r="BA53" s="236"/>
      <c r="BC53" s="234">
        <f t="shared" ca="1" si="24"/>
        <v>47</v>
      </c>
      <c r="BD53" s="288">
        <f t="shared" ca="1" si="6"/>
        <v>47</v>
      </c>
      <c r="BF53" s="240">
        <f t="shared" ca="1" si="25"/>
        <v>0</v>
      </c>
      <c r="BG53" s="240">
        <f t="shared" ca="1" si="25"/>
        <v>0</v>
      </c>
      <c r="BH53" s="240">
        <f t="shared" ca="1" si="25"/>
        <v>0</v>
      </c>
      <c r="BI53" s="240">
        <f t="shared" ca="1" si="25"/>
        <v>0</v>
      </c>
    </row>
    <row r="54" spans="1:61" ht="13.8" x14ac:dyDescent="0.25">
      <c r="A54" s="303"/>
      <c r="B54" s="304"/>
      <c r="C54" s="304"/>
      <c r="D54" s="304"/>
      <c r="E54" s="305"/>
      <c r="F54" s="306"/>
      <c r="G54" s="307" t="str">
        <f t="shared" ca="1" si="1"/>
        <v/>
      </c>
      <c r="H54" s="250"/>
      <c r="I54" s="250"/>
      <c r="J54" s="262"/>
      <c r="K54" s="262"/>
      <c r="AF54" s="236">
        <f t="shared" si="2"/>
        <v>0</v>
      </c>
      <c r="AG54" s="236" t="str">
        <f t="shared" si="3"/>
        <v/>
      </c>
      <c r="AH54" s="236" t="str">
        <f t="shared" si="18"/>
        <v/>
      </c>
      <c r="AJ54" s="236" t="e">
        <f t="shared" ca="1" si="19"/>
        <v>#N/A</v>
      </c>
      <c r="AK54" s="236" t="str">
        <f t="shared" ca="1" si="20"/>
        <v/>
      </c>
      <c r="AL54" s="236" t="str">
        <f t="shared" ca="1" si="20"/>
        <v/>
      </c>
      <c r="AM54" s="236" t="str">
        <f t="shared" ca="1" si="4"/>
        <v/>
      </c>
      <c r="AQ54" s="286"/>
      <c r="AR54" s="286"/>
      <c r="AS54" s="286"/>
      <c r="AT54" s="286"/>
      <c r="AV54" s="234">
        <f t="shared" si="21"/>
        <v>99</v>
      </c>
      <c r="AW54" s="234">
        <f>COUNTIF( AV$7:AV54, AV54 )</f>
        <v>4</v>
      </c>
      <c r="AX54" s="287">
        <f t="shared" si="22"/>
        <v>99.4</v>
      </c>
      <c r="AY54" s="234">
        <f t="shared" si="23"/>
        <v>48</v>
      </c>
      <c r="AZ54" s="236"/>
      <c r="BA54" s="236"/>
      <c r="BC54" s="234">
        <f t="shared" ca="1" si="24"/>
        <v>48</v>
      </c>
      <c r="BD54" s="288">
        <f t="shared" ca="1" si="6"/>
        <v>48</v>
      </c>
      <c r="BF54" s="240">
        <f t="shared" ca="1" si="25"/>
        <v>0</v>
      </c>
      <c r="BG54" s="240">
        <f t="shared" ca="1" si="25"/>
        <v>0</v>
      </c>
      <c r="BH54" s="240">
        <f t="shared" ca="1" si="25"/>
        <v>0</v>
      </c>
      <c r="BI54" s="240">
        <f t="shared" ca="1" si="25"/>
        <v>0</v>
      </c>
    </row>
    <row r="55" spans="1:61" ht="13.8" x14ac:dyDescent="0.25">
      <c r="A55" s="303"/>
      <c r="B55" s="304"/>
      <c r="C55" s="304"/>
      <c r="D55" s="304"/>
      <c r="E55" s="305"/>
      <c r="F55" s="306"/>
      <c r="G55" s="307" t="str">
        <f t="shared" ca="1" si="1"/>
        <v/>
      </c>
      <c r="H55" s="250"/>
      <c r="I55" s="250"/>
      <c r="J55" s="262"/>
      <c r="K55" s="262"/>
      <c r="AF55" s="236">
        <f t="shared" si="2"/>
        <v>0</v>
      </c>
      <c r="AG55" s="236" t="str">
        <f t="shared" si="3"/>
        <v/>
      </c>
      <c r="AH55" s="236" t="str">
        <f t="shared" si="18"/>
        <v/>
      </c>
      <c r="AJ55" s="236" t="e">
        <f t="shared" ca="1" si="19"/>
        <v>#N/A</v>
      </c>
      <c r="AK55" s="236" t="str">
        <f t="shared" ca="1" si="20"/>
        <v/>
      </c>
      <c r="AL55" s="236" t="str">
        <f t="shared" ca="1" si="20"/>
        <v/>
      </c>
      <c r="AM55" s="236" t="str">
        <f t="shared" ca="1" si="4"/>
        <v/>
      </c>
      <c r="AQ55" s="286"/>
      <c r="AR55" s="286"/>
      <c r="AS55" s="286"/>
      <c r="AT55" s="286"/>
      <c r="AV55" s="234">
        <f t="shared" si="21"/>
        <v>99</v>
      </c>
      <c r="AW55" s="234">
        <f>COUNTIF( AV$7:AV55, AV55 )</f>
        <v>5</v>
      </c>
      <c r="AX55" s="287">
        <f t="shared" si="22"/>
        <v>99.5</v>
      </c>
      <c r="AY55" s="234">
        <f t="shared" si="23"/>
        <v>49</v>
      </c>
      <c r="AZ55" s="236"/>
      <c r="BA55" s="236"/>
      <c r="BC55" s="234">
        <f t="shared" ca="1" si="24"/>
        <v>49</v>
      </c>
      <c r="BD55" s="288">
        <f t="shared" ca="1" si="6"/>
        <v>49</v>
      </c>
      <c r="BF55" s="240">
        <f t="shared" ca="1" si="25"/>
        <v>0</v>
      </c>
      <c r="BG55" s="240">
        <f t="shared" ca="1" si="25"/>
        <v>0</v>
      </c>
      <c r="BH55" s="240">
        <f t="shared" ca="1" si="25"/>
        <v>0</v>
      </c>
      <c r="BI55" s="240">
        <f t="shared" ca="1" si="25"/>
        <v>0</v>
      </c>
    </row>
    <row r="56" spans="1:61" ht="13.8" x14ac:dyDescent="0.25">
      <c r="A56" s="303"/>
      <c r="B56" s="304"/>
      <c r="C56" s="304"/>
      <c r="D56" s="304"/>
      <c r="E56" s="305"/>
      <c r="F56" s="306"/>
      <c r="G56" s="307" t="str">
        <f t="shared" ca="1" si="1"/>
        <v/>
      </c>
      <c r="H56" s="250"/>
      <c r="I56" s="250"/>
      <c r="J56" s="262"/>
      <c r="K56" s="262"/>
      <c r="AF56" s="236">
        <f t="shared" si="2"/>
        <v>0</v>
      </c>
      <c r="AG56" s="236" t="str">
        <f t="shared" si="3"/>
        <v/>
      </c>
      <c r="AH56" s="236" t="str">
        <f t="shared" si="18"/>
        <v/>
      </c>
      <c r="AJ56" s="236" t="e">
        <f t="shared" ca="1" si="19"/>
        <v>#N/A</v>
      </c>
      <c r="AK56" s="236" t="str">
        <f t="shared" ca="1" si="20"/>
        <v/>
      </c>
      <c r="AL56" s="236" t="str">
        <f t="shared" ca="1" si="20"/>
        <v/>
      </c>
      <c r="AM56" s="236" t="str">
        <f t="shared" ca="1" si="4"/>
        <v/>
      </c>
      <c r="AQ56" s="286"/>
      <c r="AR56" s="286"/>
      <c r="AS56" s="286"/>
      <c r="AT56" s="286"/>
      <c r="AV56" s="234">
        <f t="shared" si="21"/>
        <v>99</v>
      </c>
      <c r="AW56" s="234">
        <f>COUNTIF( AV$7:AV56, AV56 )</f>
        <v>6</v>
      </c>
      <c r="AX56" s="287">
        <f t="shared" si="22"/>
        <v>99.6</v>
      </c>
      <c r="AY56" s="234">
        <f t="shared" si="23"/>
        <v>50</v>
      </c>
      <c r="AZ56" s="236"/>
      <c r="BA56" s="236"/>
      <c r="BC56" s="234">
        <f t="shared" ca="1" si="24"/>
        <v>50</v>
      </c>
      <c r="BD56" s="288">
        <f t="shared" ca="1" si="6"/>
        <v>50</v>
      </c>
      <c r="BF56" s="240">
        <f t="shared" ca="1" si="25"/>
        <v>0</v>
      </c>
      <c r="BG56" s="240">
        <f t="shared" ca="1" si="25"/>
        <v>0</v>
      </c>
      <c r="BH56" s="240">
        <f t="shared" ca="1" si="25"/>
        <v>0</v>
      </c>
      <c r="BI56" s="240">
        <f t="shared" ca="1" si="25"/>
        <v>0</v>
      </c>
    </row>
    <row r="57" spans="1:61" ht="13.8" x14ac:dyDescent="0.25">
      <c r="A57" s="303"/>
      <c r="B57" s="304"/>
      <c r="C57" s="304"/>
      <c r="D57" s="304"/>
      <c r="E57" s="305"/>
      <c r="F57" s="306"/>
      <c r="G57" s="307" t="str">
        <f t="shared" ca="1" si="1"/>
        <v/>
      </c>
      <c r="H57" s="250"/>
      <c r="I57" s="250"/>
      <c r="J57" s="262"/>
      <c r="K57" s="262"/>
      <c r="AF57" s="236">
        <f t="shared" si="2"/>
        <v>0</v>
      </c>
      <c r="AG57" s="236" t="str">
        <f t="shared" si="3"/>
        <v/>
      </c>
      <c r="AH57" s="236" t="str">
        <f t="shared" si="18"/>
        <v/>
      </c>
      <c r="AJ57" s="236" t="e">
        <f t="shared" ca="1" si="19"/>
        <v>#N/A</v>
      </c>
      <c r="AK57" s="236" t="str">
        <f t="shared" ca="1" si="20"/>
        <v/>
      </c>
      <c r="AL57" s="236" t="str">
        <f t="shared" ca="1" si="20"/>
        <v/>
      </c>
      <c r="AM57" s="236" t="str">
        <f t="shared" ca="1" si="4"/>
        <v/>
      </c>
      <c r="AQ57" s="286"/>
      <c r="AR57" s="286"/>
      <c r="AS57" s="286"/>
      <c r="AT57" s="286"/>
      <c r="AV57" s="234">
        <f t="shared" si="21"/>
        <v>99</v>
      </c>
      <c r="AW57" s="234">
        <f>COUNTIF( AV$7:AV57, AV57 )</f>
        <v>7</v>
      </c>
      <c r="AX57" s="287">
        <f t="shared" si="22"/>
        <v>99.7</v>
      </c>
      <c r="AY57" s="234">
        <f t="shared" si="23"/>
        <v>51</v>
      </c>
      <c r="AZ57" s="236"/>
      <c r="BA57" s="236"/>
      <c r="BC57" s="234">
        <f t="shared" ca="1" si="24"/>
        <v>51</v>
      </c>
      <c r="BD57" s="288">
        <f t="shared" ca="1" si="6"/>
        <v>51</v>
      </c>
      <c r="BF57" s="240">
        <f t="shared" ca="1" si="25"/>
        <v>0</v>
      </c>
      <c r="BG57" s="240">
        <f t="shared" ca="1" si="25"/>
        <v>0</v>
      </c>
      <c r="BH57" s="240">
        <f t="shared" ca="1" si="25"/>
        <v>0</v>
      </c>
      <c r="BI57" s="240">
        <f t="shared" ca="1" si="25"/>
        <v>0</v>
      </c>
    </row>
    <row r="58" spans="1:61" ht="13.8" x14ac:dyDescent="0.25">
      <c r="A58" s="303"/>
      <c r="B58" s="304"/>
      <c r="C58" s="304"/>
      <c r="D58" s="304"/>
      <c r="E58" s="305"/>
      <c r="F58" s="306"/>
      <c r="G58" s="307" t="str">
        <f t="shared" ca="1" si="1"/>
        <v/>
      </c>
      <c r="H58" s="250"/>
      <c r="I58" s="250"/>
      <c r="J58" s="262"/>
      <c r="K58" s="262"/>
      <c r="AF58" s="236">
        <f t="shared" si="2"/>
        <v>0</v>
      </c>
      <c r="AG58" s="236" t="str">
        <f t="shared" si="3"/>
        <v/>
      </c>
      <c r="AH58" s="236" t="str">
        <f t="shared" si="18"/>
        <v/>
      </c>
      <c r="AJ58" s="236" t="e">
        <f t="shared" ca="1" si="19"/>
        <v>#N/A</v>
      </c>
      <c r="AK58" s="236" t="str">
        <f t="shared" ca="1" si="20"/>
        <v/>
      </c>
      <c r="AL58" s="236" t="str">
        <f t="shared" ca="1" si="20"/>
        <v/>
      </c>
      <c r="AM58" s="236" t="str">
        <f t="shared" ca="1" si="4"/>
        <v/>
      </c>
      <c r="AQ58" s="286"/>
      <c r="AR58" s="286"/>
      <c r="AS58" s="286"/>
      <c r="AT58" s="286"/>
      <c r="AV58" s="234">
        <f t="shared" si="21"/>
        <v>99</v>
      </c>
      <c r="AW58" s="234">
        <f>COUNTIF( AV$7:AV58, AV58 )</f>
        <v>8</v>
      </c>
      <c r="AX58" s="287">
        <f t="shared" si="22"/>
        <v>99.8</v>
      </c>
      <c r="AY58" s="234">
        <f t="shared" si="23"/>
        <v>52</v>
      </c>
      <c r="AZ58" s="236"/>
      <c r="BA58" s="236"/>
      <c r="BC58" s="234">
        <f t="shared" ca="1" si="24"/>
        <v>52</v>
      </c>
      <c r="BD58" s="288">
        <f t="shared" ca="1" si="6"/>
        <v>52</v>
      </c>
      <c r="BF58" s="240">
        <f t="shared" ca="1" si="25"/>
        <v>0</v>
      </c>
      <c r="BG58" s="240">
        <f t="shared" ca="1" si="25"/>
        <v>0</v>
      </c>
      <c r="BH58" s="240">
        <f t="shared" ca="1" si="25"/>
        <v>0</v>
      </c>
      <c r="BI58" s="240">
        <f t="shared" ca="1" si="25"/>
        <v>0</v>
      </c>
    </row>
    <row r="59" spans="1:61" ht="13.8" x14ac:dyDescent="0.25">
      <c r="A59" s="303"/>
      <c r="B59" s="304"/>
      <c r="C59" s="304"/>
      <c r="D59" s="304"/>
      <c r="E59" s="305" t="str">
        <f t="shared" ca="1" si="8"/>
        <v/>
      </c>
      <c r="F59" s="306"/>
      <c r="G59" s="307" t="str">
        <f t="shared" ca="1" si="1"/>
        <v/>
      </c>
      <c r="H59" s="250"/>
      <c r="I59" s="250"/>
      <c r="J59" s="262"/>
      <c r="K59" s="262"/>
      <c r="AF59" s="236">
        <f t="shared" si="2"/>
        <v>0</v>
      </c>
      <c r="AG59" s="236" t="str">
        <f t="shared" si="3"/>
        <v/>
      </c>
      <c r="AH59" s="236" t="str">
        <f t="shared" si="18"/>
        <v/>
      </c>
      <c r="AJ59" s="236" t="e">
        <f t="shared" ca="1" si="19"/>
        <v>#N/A</v>
      </c>
      <c r="AK59" s="236" t="str">
        <f t="shared" ca="1" si="20"/>
        <v/>
      </c>
      <c r="AL59" s="236" t="str">
        <f t="shared" ca="1" si="20"/>
        <v/>
      </c>
      <c r="AM59" s="236" t="str">
        <f t="shared" ca="1" si="4"/>
        <v/>
      </c>
      <c r="AQ59" s="286"/>
      <c r="AR59" s="286"/>
      <c r="AS59" s="286"/>
      <c r="AT59" s="286"/>
      <c r="AV59" s="234">
        <f t="shared" si="21"/>
        <v>99</v>
      </c>
      <c r="AW59" s="234">
        <f>COUNTIF( AV$7:AV59, AV59 )</f>
        <v>9</v>
      </c>
      <c r="AX59" s="287">
        <f t="shared" si="22"/>
        <v>99.9</v>
      </c>
      <c r="AY59" s="234">
        <f t="shared" si="23"/>
        <v>53</v>
      </c>
      <c r="AZ59" s="236"/>
      <c r="BA59" s="236"/>
      <c r="BC59" s="234">
        <f t="shared" ca="1" si="24"/>
        <v>53</v>
      </c>
      <c r="BD59" s="288">
        <f t="shared" ca="1" si="6"/>
        <v>53</v>
      </c>
      <c r="BF59" s="240">
        <f t="shared" ca="1" si="25"/>
        <v>0</v>
      </c>
      <c r="BG59" s="240">
        <f t="shared" ca="1" si="25"/>
        <v>0</v>
      </c>
      <c r="BH59" s="240">
        <f t="shared" ca="1" si="25"/>
        <v>0</v>
      </c>
      <c r="BI59" s="240">
        <f t="shared" ca="1" si="25"/>
        <v>0</v>
      </c>
    </row>
    <row r="60" spans="1:61" ht="14.4" thickBot="1" x14ac:dyDescent="0.3">
      <c r="A60" s="265"/>
      <c r="B60" s="266"/>
      <c r="C60" s="266"/>
      <c r="D60" s="266"/>
      <c r="E60" s="267" t="str">
        <f t="shared" ca="1" si="8"/>
        <v/>
      </c>
      <c r="F60" s="250"/>
      <c r="G60" s="251" t="str">
        <f t="shared" ca="1" si="1"/>
        <v/>
      </c>
      <c r="H60" s="250"/>
      <c r="I60" s="250"/>
      <c r="AF60" s="236">
        <f t="shared" si="2"/>
        <v>0</v>
      </c>
      <c r="AG60" s="236" t="str">
        <f t="shared" si="3"/>
        <v/>
      </c>
      <c r="AH60" s="236" t="str">
        <f t="shared" si="18"/>
        <v/>
      </c>
      <c r="AJ60" s="236" t="e">
        <f t="shared" ca="1" si="19"/>
        <v>#N/A</v>
      </c>
      <c r="AK60" s="236" t="str">
        <f t="shared" ca="1" si="20"/>
        <v/>
      </c>
      <c r="AL60" s="236" t="str">
        <f t="shared" ca="1" si="20"/>
        <v/>
      </c>
      <c r="AM60" s="236" t="str">
        <f t="shared" ca="1" si="4"/>
        <v/>
      </c>
      <c r="AQ60" s="286"/>
      <c r="AR60" s="286"/>
      <c r="AS60" s="286"/>
      <c r="AT60" s="286"/>
      <c r="AV60" s="234">
        <f t="shared" si="21"/>
        <v>99</v>
      </c>
      <c r="AW60" s="234">
        <f>COUNTIF( AV$7:AV60, AV60 )</f>
        <v>10</v>
      </c>
      <c r="AX60" s="287">
        <f t="shared" si="22"/>
        <v>100</v>
      </c>
      <c r="AY60" s="234">
        <f t="shared" si="23"/>
        <v>54</v>
      </c>
      <c r="AZ60" s="236"/>
      <c r="BA60" s="236"/>
      <c r="BC60" s="234">
        <f t="shared" ca="1" si="24"/>
        <v>54</v>
      </c>
      <c r="BD60" s="288">
        <f t="shared" ca="1" si="6"/>
        <v>54</v>
      </c>
      <c r="BF60" s="240">
        <f t="shared" ca="1" si="25"/>
        <v>0</v>
      </c>
      <c r="BG60" s="240">
        <f t="shared" ca="1" si="25"/>
        <v>0</v>
      </c>
      <c r="BH60" s="240">
        <f t="shared" ca="1" si="25"/>
        <v>0</v>
      </c>
      <c r="BI60" s="240">
        <f t="shared" ca="1" si="25"/>
        <v>0</v>
      </c>
    </row>
    <row r="61" spans="1:61" ht="13.8" x14ac:dyDescent="0.25">
      <c r="A61" s="308" t="s">
        <v>74</v>
      </c>
      <c r="B61" s="309" t="s">
        <v>108</v>
      </c>
      <c r="C61" s="309">
        <v>23</v>
      </c>
      <c r="D61" s="309" t="s">
        <v>439</v>
      </c>
      <c r="E61" s="310" t="str">
        <f t="shared" ca="1" si="8"/>
        <v>R</v>
      </c>
      <c r="F61" s="311"/>
      <c r="G61" s="312">
        <f t="shared" ca="1" si="1"/>
        <v>30</v>
      </c>
      <c r="H61" s="250"/>
      <c r="I61" s="250"/>
      <c r="AF61" s="236">
        <f t="shared" si="2"/>
        <v>1</v>
      </c>
      <c r="AG61" s="236" t="str">
        <f t="shared" ca="1" si="3"/>
        <v/>
      </c>
      <c r="AH61" s="236" t="str">
        <f t="shared" ca="1" si="18"/>
        <v/>
      </c>
      <c r="AJ61" s="236">
        <f t="shared" ca="1" si="19"/>
        <v>61</v>
      </c>
      <c r="AK61" s="236" t="str">
        <f t="shared" ca="1" si="20"/>
        <v>AA-</v>
      </c>
      <c r="AL61" s="236">
        <f t="shared" ca="1" si="20"/>
        <v>23</v>
      </c>
      <c r="AM61" s="236" t="str">
        <f t="shared" ca="1" si="4"/>
        <v/>
      </c>
      <c r="AQ61" s="286"/>
      <c r="AR61" s="286"/>
      <c r="AS61" s="286"/>
      <c r="AT61" s="286"/>
      <c r="AV61" s="234">
        <f t="shared" si="21"/>
        <v>99</v>
      </c>
      <c r="AW61" s="234">
        <f>COUNTIF( AV$7:AV61, AV61 )</f>
        <v>11</v>
      </c>
      <c r="AX61" s="287">
        <f t="shared" si="22"/>
        <v>100.1</v>
      </c>
      <c r="AY61" s="234">
        <f t="shared" si="23"/>
        <v>55</v>
      </c>
      <c r="AZ61" s="236"/>
      <c r="BA61" s="236"/>
      <c r="BC61" s="234">
        <f t="shared" ca="1" si="24"/>
        <v>55</v>
      </c>
      <c r="BD61" s="288">
        <f t="shared" ca="1" si="6"/>
        <v>55</v>
      </c>
      <c r="BF61" s="240">
        <f t="shared" ca="1" si="25"/>
        <v>0</v>
      </c>
      <c r="BG61" s="240">
        <f t="shared" ca="1" si="25"/>
        <v>0</v>
      </c>
      <c r="BH61" s="240">
        <f t="shared" ca="1" si="25"/>
        <v>0</v>
      </c>
      <c r="BI61" s="240">
        <f t="shared" ca="1" si="25"/>
        <v>0</v>
      </c>
    </row>
    <row r="62" spans="1:61" ht="13.8" x14ac:dyDescent="0.25">
      <c r="A62" s="303"/>
      <c r="B62" s="304"/>
      <c r="C62" s="304"/>
      <c r="D62" s="304"/>
      <c r="E62" s="305"/>
      <c r="F62" s="306"/>
      <c r="G62" s="307" t="str">
        <f t="shared" ca="1" si="1"/>
        <v/>
      </c>
      <c r="H62" s="250"/>
      <c r="I62" s="250"/>
      <c r="AF62" s="236">
        <f t="shared" si="2"/>
        <v>0</v>
      </c>
      <c r="AG62" s="236" t="str">
        <f t="shared" si="3"/>
        <v/>
      </c>
      <c r="AH62" s="236" t="str">
        <f t="shared" si="18"/>
        <v/>
      </c>
      <c r="AJ62" s="236" t="e">
        <f t="shared" ca="1" si="19"/>
        <v>#N/A</v>
      </c>
      <c r="AK62" s="236" t="str">
        <f t="shared" ca="1" si="20"/>
        <v/>
      </c>
      <c r="AL62" s="236" t="str">
        <f t="shared" ca="1" si="20"/>
        <v/>
      </c>
      <c r="AM62" s="236" t="str">
        <f t="shared" ca="1" si="4"/>
        <v/>
      </c>
      <c r="AQ62" s="286"/>
      <c r="AR62" s="286"/>
      <c r="AS62" s="286"/>
      <c r="AT62" s="286"/>
      <c r="AV62" s="234">
        <f t="shared" si="21"/>
        <v>99</v>
      </c>
      <c r="AW62" s="234">
        <f>COUNTIF( AV$7:AV62, AV62 )</f>
        <v>12</v>
      </c>
      <c r="AX62" s="287">
        <f t="shared" si="22"/>
        <v>100.2</v>
      </c>
      <c r="AY62" s="234">
        <f t="shared" si="23"/>
        <v>56</v>
      </c>
      <c r="AZ62" s="236"/>
      <c r="BA62" s="236"/>
      <c r="BC62" s="234">
        <f t="shared" ca="1" si="24"/>
        <v>56</v>
      </c>
      <c r="BD62" s="288">
        <f t="shared" ca="1" si="6"/>
        <v>56</v>
      </c>
      <c r="BF62" s="240">
        <f t="shared" ca="1" si="25"/>
        <v>0</v>
      </c>
      <c r="BG62" s="240">
        <f t="shared" ca="1" si="25"/>
        <v>0</v>
      </c>
      <c r="BH62" s="240">
        <f t="shared" ca="1" si="25"/>
        <v>0</v>
      </c>
      <c r="BI62" s="240">
        <f t="shared" ca="1" si="25"/>
        <v>0</v>
      </c>
    </row>
    <row r="63" spans="1:61" ht="13.8" x14ac:dyDescent="0.25">
      <c r="A63" s="303"/>
      <c r="B63" s="313"/>
      <c r="C63" s="304"/>
      <c r="D63" s="304"/>
      <c r="E63" s="305"/>
      <c r="F63" s="306"/>
      <c r="G63" s="307"/>
      <c r="H63" s="250"/>
      <c r="I63" s="250"/>
      <c r="AF63" s="236">
        <f t="shared" si="2"/>
        <v>0</v>
      </c>
      <c r="AG63" s="236" t="str">
        <f t="shared" si="3"/>
        <v/>
      </c>
      <c r="AH63" s="236" t="str">
        <f t="shared" si="18"/>
        <v/>
      </c>
      <c r="AJ63" s="236" t="e">
        <f t="shared" ca="1" si="19"/>
        <v>#N/A</v>
      </c>
      <c r="AK63" s="236" t="str">
        <f t="shared" ca="1" si="20"/>
        <v/>
      </c>
      <c r="AL63" s="236" t="str">
        <f t="shared" ca="1" si="20"/>
        <v/>
      </c>
      <c r="AM63" s="236" t="str">
        <f t="shared" ca="1" si="4"/>
        <v/>
      </c>
      <c r="AQ63" s="286"/>
      <c r="AR63" s="286"/>
      <c r="AS63" s="286"/>
      <c r="AT63" s="286"/>
      <c r="AU63" s="286"/>
      <c r="AV63" s="234">
        <f t="shared" si="21"/>
        <v>99</v>
      </c>
      <c r="AW63" s="234">
        <f>COUNTIF( AV$7:AV63, AV63 )</f>
        <v>13</v>
      </c>
      <c r="AX63" s="287">
        <f t="shared" si="22"/>
        <v>100.3</v>
      </c>
      <c r="AY63" s="234">
        <f t="shared" si="23"/>
        <v>57</v>
      </c>
      <c r="AZ63" s="236"/>
      <c r="BA63" s="236"/>
      <c r="BC63" s="234">
        <f t="shared" ca="1" si="24"/>
        <v>57</v>
      </c>
      <c r="BD63" s="288">
        <f ca="1">MATCH( BC63, $AY$7:$AY$63, 0 )</f>
        <v>57</v>
      </c>
      <c r="BF63" s="240">
        <f t="shared" ca="1" si="25"/>
        <v>0</v>
      </c>
      <c r="BG63" s="240">
        <f t="shared" ca="1" si="25"/>
        <v>0</v>
      </c>
      <c r="BH63" s="240">
        <f t="shared" ca="1" si="25"/>
        <v>0</v>
      </c>
      <c r="BI63" s="240">
        <f t="shared" ca="1" si="25"/>
        <v>0</v>
      </c>
    </row>
    <row r="64" spans="1:61" ht="13.8" x14ac:dyDescent="0.25">
      <c r="A64" s="303"/>
      <c r="B64" s="313"/>
      <c r="C64" s="304"/>
      <c r="D64" s="304"/>
      <c r="E64" s="305"/>
      <c r="F64" s="306"/>
      <c r="G64" s="307"/>
      <c r="H64" s="250"/>
      <c r="I64" s="250"/>
      <c r="AF64" s="236">
        <f t="shared" si="2"/>
        <v>0</v>
      </c>
      <c r="AG64" s="236" t="str">
        <f t="shared" si="3"/>
        <v/>
      </c>
      <c r="AH64" s="236" t="str">
        <f t="shared" si="18"/>
        <v/>
      </c>
      <c r="AJ64" s="236" t="e">
        <f t="shared" ca="1" si="19"/>
        <v>#N/A</v>
      </c>
      <c r="AK64" s="236" t="str">
        <f t="shared" ca="1" si="20"/>
        <v/>
      </c>
      <c r="AL64" s="236" t="str">
        <f t="shared" ca="1" si="20"/>
        <v/>
      </c>
      <c r="AM64" s="236" t="str">
        <f t="shared" ca="1" si="4"/>
        <v/>
      </c>
      <c r="AQ64" s="286" t="s">
        <v>74</v>
      </c>
      <c r="AR64" s="286" t="s">
        <v>108</v>
      </c>
      <c r="AS64" s="286">
        <v>23</v>
      </c>
      <c r="AT64" s="289" t="s">
        <v>439</v>
      </c>
      <c r="AU64" s="286"/>
      <c r="AZ64" s="236"/>
      <c r="BA64" s="236"/>
      <c r="BF64" s="236"/>
    </row>
    <row r="65" spans="1:58" ht="13.8" x14ac:dyDescent="0.25">
      <c r="A65" s="303"/>
      <c r="B65" s="313"/>
      <c r="C65" s="304"/>
      <c r="D65" s="304"/>
      <c r="E65" s="305"/>
      <c r="F65" s="306"/>
      <c r="G65" s="307"/>
      <c r="H65" s="250"/>
      <c r="I65" s="250"/>
      <c r="N65" s="234" t="s">
        <v>73</v>
      </c>
      <c r="AF65" s="236">
        <f t="shared" si="2"/>
        <v>0</v>
      </c>
      <c r="AG65" s="236" t="str">
        <f>IF( LEN( $C65 ) = 0, "", IF( $C65 &gt; $AL65, 1, "" ) )</f>
        <v/>
      </c>
      <c r="AH65" s="236" t="str">
        <f t="shared" si="18"/>
        <v/>
      </c>
      <c r="AJ65" s="236" t="e">
        <f t="shared" ca="1" si="19"/>
        <v>#N/A</v>
      </c>
      <c r="AK65" s="236" t="str">
        <f t="shared" ca="1" si="20"/>
        <v/>
      </c>
      <c r="AL65" s="236" t="str">
        <f t="shared" ca="1" si="20"/>
        <v/>
      </c>
      <c r="AM65" s="236" t="str">
        <f t="shared" ca="1" si="4"/>
        <v/>
      </c>
      <c r="AQ65" s="286"/>
      <c r="AR65" s="286"/>
      <c r="AS65" s="286"/>
      <c r="AT65" s="286"/>
      <c r="AU65" s="286"/>
      <c r="AZ65" s="236"/>
      <c r="BA65" s="236"/>
      <c r="BF65" s="236"/>
    </row>
    <row r="66" spans="1:58" ht="13.8" x14ac:dyDescent="0.25">
      <c r="A66" s="268"/>
      <c r="B66" s="269"/>
      <c r="C66" s="270"/>
      <c r="D66" s="270"/>
      <c r="E66" s="249"/>
      <c r="F66" s="250"/>
      <c r="H66" s="250"/>
      <c r="I66" s="250"/>
      <c r="AF66" s="236">
        <f t="shared" si="2"/>
        <v>0</v>
      </c>
      <c r="AG66" s="236" t="str">
        <f t="shared" ref="AG66:AG67" si="26">IF( LEN( $C66 ) = 0, "", IF( $C66 &gt; $AL66, 1, "" ) )</f>
        <v/>
      </c>
      <c r="AH66" s="236" t="str">
        <f t="shared" si="18"/>
        <v/>
      </c>
      <c r="AJ66" s="236" t="e">
        <f t="shared" ca="1" si="19"/>
        <v>#N/A</v>
      </c>
      <c r="AK66" s="236" t="str">
        <f t="shared" ca="1" si="20"/>
        <v/>
      </c>
      <c r="AL66" s="236" t="str">
        <f t="shared" ca="1" si="20"/>
        <v/>
      </c>
      <c r="AM66" s="236" t="str">
        <f t="shared" ca="1" si="4"/>
        <v/>
      </c>
      <c r="AU66" s="286"/>
      <c r="AX66" s="287"/>
      <c r="AZ66" s="236"/>
      <c r="BA66" s="236"/>
      <c r="BD66" s="288"/>
      <c r="BF66" s="236"/>
    </row>
    <row r="67" spans="1:58" ht="14.4" thickBot="1" x14ac:dyDescent="0.3">
      <c r="A67" s="271"/>
      <c r="B67" s="272"/>
      <c r="C67" s="337"/>
      <c r="D67" s="272"/>
      <c r="E67" s="273"/>
      <c r="F67" s="250"/>
      <c r="H67" s="250"/>
      <c r="I67" s="250"/>
      <c r="AF67" s="236">
        <f t="shared" si="2"/>
        <v>0</v>
      </c>
      <c r="AG67" s="236" t="str">
        <f t="shared" si="26"/>
        <v/>
      </c>
      <c r="AH67" s="236" t="str">
        <f t="shared" si="18"/>
        <v/>
      </c>
      <c r="AJ67" s="236" t="e">
        <f t="shared" ca="1" si="19"/>
        <v>#N/A</v>
      </c>
      <c r="AK67" s="236" t="str">
        <f t="shared" ca="1" si="20"/>
        <v/>
      </c>
      <c r="AL67" s="236" t="str">
        <f t="shared" ca="1" si="20"/>
        <v/>
      </c>
      <c r="AM67" s="236" t="str">
        <f t="shared" ca="1" si="4"/>
        <v/>
      </c>
      <c r="AX67" s="287"/>
      <c r="AZ67" s="236"/>
      <c r="BA67" s="236"/>
      <c r="BD67" s="288"/>
      <c r="BF67" s="236"/>
    </row>
    <row r="68" spans="1:58" ht="13.8" x14ac:dyDescent="0.25">
      <c r="A68" s="274" t="s">
        <v>135</v>
      </c>
      <c r="B68" s="275" t="str">
        <f ca="1">OFFSET( Scale!$H$5, ROUND( C68, 0 ) - 1, 1 )</f>
        <v>BBB+</v>
      </c>
      <c r="C68" s="276">
        <f>AVERAGE(C7:C65)</f>
        <v>18.733333333333334</v>
      </c>
      <c r="D68" s="276"/>
      <c r="E68" s="276"/>
      <c r="F68" s="250"/>
      <c r="H68" s="250"/>
      <c r="I68" s="250"/>
      <c r="J68" s="253"/>
      <c r="K68" s="253"/>
      <c r="AX68" s="287"/>
      <c r="AZ68" s="236"/>
      <c r="BA68" s="236"/>
      <c r="BD68" s="288"/>
      <c r="BF68" s="236"/>
    </row>
    <row r="69" spans="1:58" x14ac:dyDescent="0.25">
      <c r="A69" s="277"/>
      <c r="B69" s="278"/>
      <c r="F69" s="250"/>
      <c r="H69" s="250"/>
      <c r="I69" s="250"/>
      <c r="AX69" s="287"/>
      <c r="AZ69" s="236"/>
      <c r="BA69" s="236"/>
      <c r="BD69" s="288"/>
      <c r="BF69" s="236"/>
    </row>
    <row r="70" spans="1:58" x14ac:dyDescent="0.25">
      <c r="A70" s="277"/>
      <c r="B70" s="278"/>
      <c r="F70" s="240"/>
      <c r="H70" s="240"/>
      <c r="I70" s="240"/>
      <c r="J70" s="253"/>
      <c r="K70" s="253"/>
    </row>
    <row r="71" spans="1:58" x14ac:dyDescent="0.25">
      <c r="A71" s="279" t="s">
        <v>266</v>
      </c>
      <c r="F71" s="240"/>
      <c r="H71" s="240"/>
      <c r="I71" s="240"/>
    </row>
    <row r="72" spans="1:58" x14ac:dyDescent="0.25">
      <c r="A72" s="279" t="s">
        <v>365</v>
      </c>
      <c r="B72" s="240"/>
      <c r="D72" s="264"/>
      <c r="E72" s="264"/>
      <c r="F72" s="280"/>
      <c r="H72" s="280"/>
      <c r="I72" s="280"/>
    </row>
    <row r="73" spans="1:58" x14ac:dyDescent="0.25">
      <c r="A73" s="281" t="s">
        <v>356</v>
      </c>
      <c r="B73" s="240"/>
      <c r="D73" s="264"/>
      <c r="E73" s="264"/>
      <c r="F73" s="280"/>
      <c r="H73" s="280"/>
      <c r="I73" s="280"/>
    </row>
    <row r="74" spans="1:58" x14ac:dyDescent="0.25">
      <c r="A74" s="279" t="s">
        <v>358</v>
      </c>
      <c r="D74" s="280"/>
      <c r="E74" s="234"/>
      <c r="F74" s="282"/>
      <c r="H74" s="282"/>
      <c r="I74" s="282"/>
      <c r="AQ74" s="286"/>
      <c r="AR74" s="286"/>
      <c r="AS74" s="286"/>
    </row>
    <row r="75" spans="1:58" x14ac:dyDescent="0.25">
      <c r="A75" s="279" t="s">
        <v>506</v>
      </c>
      <c r="D75" s="280"/>
      <c r="E75" s="234"/>
      <c r="F75" s="282"/>
      <c r="H75" s="282"/>
      <c r="I75" s="282"/>
      <c r="AQ75" s="286"/>
      <c r="AR75" s="286"/>
      <c r="AS75" s="286"/>
    </row>
    <row r="76" spans="1:58" x14ac:dyDescent="0.25">
      <c r="A76" s="279"/>
      <c r="AQ76" s="286"/>
      <c r="AR76" s="286"/>
      <c r="AS76" s="286"/>
    </row>
    <row r="77" spans="1:58" x14ac:dyDescent="0.25">
      <c r="C77" s="339">
        <f>SUMPRODUCT( L8:L13, Y8:Y13 ) / L14</f>
        <v>18.955555555555556</v>
      </c>
      <c r="E77" s="283"/>
      <c r="G77" s="251"/>
      <c r="J77" s="240"/>
      <c r="K77" s="240"/>
      <c r="AQ77" s="286"/>
      <c r="AR77" s="286"/>
      <c r="AS77" s="286"/>
    </row>
    <row r="78" spans="1:58" s="240" customFormat="1" ht="13.8" x14ac:dyDescent="0.25">
      <c r="A78" s="284"/>
      <c r="B78" s="285"/>
      <c r="C78" s="285"/>
      <c r="D78" s="285"/>
      <c r="E78" s="249"/>
      <c r="F78" s="234"/>
      <c r="G78" s="236"/>
      <c r="H78" s="234"/>
      <c r="I78" s="234"/>
      <c r="Q78" s="234"/>
      <c r="T78" s="236"/>
      <c r="U78" s="236"/>
      <c r="V78" s="236"/>
      <c r="AF78" s="236"/>
      <c r="AG78" s="236"/>
      <c r="AH78" s="236"/>
      <c r="AJ78" s="236"/>
      <c r="AK78" s="236"/>
      <c r="AL78" s="236"/>
      <c r="AM78" s="236"/>
      <c r="AN78" s="236"/>
      <c r="AQ78" s="286"/>
      <c r="AR78" s="286"/>
      <c r="AS78" s="286"/>
    </row>
  </sheetData>
  <sortState xmlns:xlrd2="http://schemas.microsoft.com/office/spreadsheetml/2017/richdata2"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LongProperties xmlns="http://schemas.microsoft.com/office/2006/metadata/longPropertie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66e5197-e0d9-4d82-87ff-9454abe15744"/>
    <p8ad1ecc41eb4f358eb7bf0fce81b896 xmlns="066e5197-e0d9-4d82-87ff-9454abe15744">
      <Terms xmlns="http://schemas.microsoft.com/office/infopath/2007/PartnerControls"/>
    </p8ad1ecc41eb4f358eb7bf0fce81b896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44AF8C67ABECC458B2F393D29E4E3E7" ma:contentTypeVersion="1" ma:contentTypeDescription="Create a new document." ma:contentTypeScope="" ma:versionID="586ca8dfec1fd0ec63ed8875056c9568">
  <xsd:schema xmlns:xsd="http://www.w3.org/2001/XMLSchema" xmlns:xs="http://www.w3.org/2001/XMLSchema" xmlns:p="http://schemas.microsoft.com/office/2006/metadata/properties" xmlns:ns2="066e5197-e0d9-4d82-87ff-9454abe15744" targetNamespace="http://schemas.microsoft.com/office/2006/metadata/properties" ma:root="true" ma:fieldsID="a94aec4bc73e731eb7e11371c963dd22" ns2:_="">
    <xsd:import namespace="066e5197-e0d9-4d82-87ff-9454abe15744"/>
    <xsd:element name="properties">
      <xsd:complexType>
        <xsd:sequence>
          <xsd:element name="documentManagement">
            <xsd:complexType>
              <xsd:all>
                <xsd:element ref="ns2:p8ad1ecc41eb4f358eb7bf0fce81b896" minOccurs="0"/>
                <xsd:element ref="ns2:TaxCatchAll" minOccurs="0"/>
                <xsd:element ref="ns2:TaxCatchAllLabe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66e5197-e0d9-4d82-87ff-9454abe15744" elementFormDefault="qualified">
    <xsd:import namespace="http://schemas.microsoft.com/office/2006/documentManagement/types"/>
    <xsd:import namespace="http://schemas.microsoft.com/office/infopath/2007/PartnerControls"/>
    <xsd:element name="p8ad1ecc41eb4f358eb7bf0fce81b896" ma:index="8" nillable="true" ma:taxonomy="true" ma:internalName="p8ad1ecc41eb4f358eb7bf0fce81b896" ma:taxonomyFieldName="Tags" ma:displayName="EEI Tags" ma:default="" ma:fieldId="{98ad1ecc-41eb-4f35-8eb7-bf0fce81b896}" ma:taxonomyMulti="true" ma:sspId="b3057462-ad99-4b54-a4bd-faac809f860e" ma:termSetId="7292dfb8-73c6-46fd-8562-ab82e2c90f6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b80ba895-beae-461d-b249-0bb33918798e}" ma:internalName="TaxCatchAll" ma:showField="CatchAllData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b80ba895-beae-461d-b249-0bb33918798e}" ma:internalName="TaxCatchAllLabel" ma:readOnly="true" ma:showField="CatchAllDataLabel" ma:web="066e5197-e0d9-4d82-87ff-9454abe157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D208671-E534-4270-ADA2-92DC490220A1}"/>
</file>

<file path=customXml/itemProps2.xml><?xml version="1.0" encoding="utf-8"?>
<ds:datastoreItem xmlns:ds="http://schemas.openxmlformats.org/officeDocument/2006/customXml" ds:itemID="{AF0C69A9-BAE6-498F-BDDE-3FE106CF61B1}"/>
</file>

<file path=customXml/itemProps3.xml><?xml version="1.0" encoding="utf-8"?>
<ds:datastoreItem xmlns:ds="http://schemas.openxmlformats.org/officeDocument/2006/customXml" ds:itemID="{246C76E5-BF75-48CE-A6B5-1CCAC67E65E7}"/>
</file>

<file path=customXml/itemProps4.xml><?xml version="1.0" encoding="utf-8"?>
<ds:datastoreItem xmlns:ds="http://schemas.openxmlformats.org/officeDocument/2006/customXml" ds:itemID="{A33763ED-63F5-42B9-A879-BD859CB2CCD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4</vt:i4>
      </vt:variant>
    </vt:vector>
  </HeadingPairs>
  <TitlesOfParts>
    <vt:vector size="63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Company>mindSHIFT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Tax/QFU_Credit/2020_Q1_Credit_Ratings.xlsx</dc:title>
  <dc:creator>Mathew Martin</dc:creator>
  <cp:lastModifiedBy>Buckley, Michael</cp:lastModifiedBy>
  <cp:lastPrinted>2019-11-25T16:41:41Z</cp:lastPrinted>
  <dcterms:created xsi:type="dcterms:W3CDTF">2005-10-18T14:13:46Z</dcterms:created>
  <dcterms:modified xsi:type="dcterms:W3CDTF">2020-06-26T16:53:25Z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0x010100044AF8C67ABECC458B2F393D29E4E3E7</vt:lpwstr>
  </property>
  <property fmtid="{D5CDD505-2E9C-101B-9397-08002B2CF9AE}" pid="5" name="WorkflowChangePath">
    <vt:lpwstr>d25fe73d-fcec-4a07-bd5f-0dc3409157cc,10;</vt:lpwstr>
  </property>
  <property fmtid="{D5CDD505-2E9C-101B-9397-08002B2CF9AE}" pid="6" name="Tags">
    <vt:lpwstr/>
  </property>
</Properties>
</file>