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omments2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omments4.xml" ContentType="application/vnd.openxmlformats-officedocument.spreadsheetml.comment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3.xml" ContentType="application/vnd.openxmlformats-officedocument.drawing+xml"/>
  <Override PartName="/xl/charts/chart84.xml" ContentType="application/vnd.openxmlformats-officedocument.drawingml.chart+xml"/>
  <Override PartName="/xl/drawings/drawing44.xml" ContentType="application/vnd.openxmlformats-officedocument.drawing+xml"/>
  <Override PartName="/xl/charts/chart85.xml" ContentType="application/vnd.openxmlformats-officedocument.drawingml.chart+xml"/>
  <Override PartName="/xl/drawings/drawing45.xml" ContentType="application/vnd.openxmlformats-officedocument.drawing+xml"/>
  <Override PartName="/xl/charts/chart86.xml" ContentType="application/vnd.openxmlformats-officedocument.drawingml.chart+xml"/>
  <Override PartName="/xl/drawings/drawing46.xml" ContentType="application/vnd.openxmlformats-officedocument.drawing+xml"/>
  <Override PartName="/xl/charts/chart87.xml" ContentType="application/vnd.openxmlformats-officedocument.drawingml.chart+xml"/>
  <Override PartName="/xl/drawings/drawing47.xml" ContentType="application/vnd.openxmlformats-officedocument.drawing+xml"/>
  <Override PartName="/xl/comments5.xml" ContentType="application/vnd.openxmlformats-officedocument.spreadsheetml.comments+xml"/>
  <Override PartName="/xl/charts/chart88.xml" ContentType="application/vnd.openxmlformats-officedocument.drawingml.chart+xml"/>
  <Override PartName="/xl/drawings/drawing48.xml" ContentType="application/vnd.openxmlformats-officedocument.drawing+xml"/>
  <Override PartName="/xl/charts/chart89.xml" ContentType="application/vnd.openxmlformats-officedocument.drawingml.chart+xml"/>
  <Override PartName="/xl/drawings/drawing49.xml" ContentType="application/vnd.openxmlformats-officedocument.drawing+xml"/>
  <Override PartName="/xl/charts/chart90.xml" ContentType="application/vnd.openxmlformats-officedocument.drawingml.chart+xml"/>
  <Override PartName="/xl/drawings/drawing50.xml" ContentType="application/vnd.openxmlformats-officedocument.drawing+xml"/>
  <Override PartName="/xl/charts/chart91.xml" ContentType="application/vnd.openxmlformats-officedocument.drawingml.chart+xml"/>
  <Override PartName="/xl/drawings/drawing51.xml" ContentType="application/vnd.openxmlformats-officedocument.drawing+xml"/>
  <Override PartName="/xl/charts/chart92.xml" ContentType="application/vnd.openxmlformats-officedocument.drawingml.chart+xml"/>
  <Override PartName="/xl/drawings/drawing52.xml" ContentType="application/vnd.openxmlformats-officedocument.drawing+xml"/>
  <Override PartName="/xl/charts/chart93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1 Quarterlies\2021 Q4\Credit Ratings\"/>
    </mc:Choice>
  </mc:AlternateContent>
  <xr:revisionPtr revIDLastSave="0" documentId="11_71CDED9F5FB0E06DF7C0536B6ABF549C37EAD69E" xr6:coauthVersionLast="47" xr6:coauthVersionMax="47" xr10:uidLastSave="{00000000-0000-0000-0000-000000000000}"/>
  <bookViews>
    <workbookView xWindow="0" yWindow="0" windowWidth="23040" windowHeight="8328" tabRatio="873" xr2:uid="{00000000-000D-0000-FFFF-FFFF00000000}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1Q4" sheetId="90" r:id="rId6"/>
    <sheet name="Credit_2021Q3" sheetId="89" r:id="rId7"/>
    <sheet name="Credit_2021Q2" sheetId="88" r:id="rId8"/>
    <sheet name="Credit_2021Q1" sheetId="87" r:id="rId9"/>
    <sheet name="Credit_2020Q4" sheetId="85" r:id="rId10"/>
    <sheet name="Credit_2020Q3" sheetId="84" r:id="rId11"/>
    <sheet name="Credit_2020Q2" sheetId="83" r:id="rId12"/>
    <sheet name="Credit_2020Q1" sheetId="81" r:id="rId13"/>
    <sheet name="Credit_2019Q4" sheetId="80" r:id="rId14"/>
    <sheet name="Credit_2019Q3" sheetId="79" r:id="rId15"/>
    <sheet name="Credit_2019Q2" sheetId="76" r:id="rId16"/>
    <sheet name="Credit_2019Q1" sheetId="78" r:id="rId17"/>
    <sheet name="Credit_2018Q4" sheetId="75" r:id="rId18"/>
    <sheet name="Credit_2018Q3" sheetId="74" r:id="rId19"/>
    <sheet name="Credit_2018Q2" sheetId="73" r:id="rId20"/>
    <sheet name="Credit_2018Q1" sheetId="71" r:id="rId21"/>
    <sheet name="Credit_2017Q4" sheetId="70" r:id="rId22"/>
    <sheet name="Credit_2017Q3" sheetId="69" r:id="rId23"/>
    <sheet name="Credit_2017Q2" sheetId="68" r:id="rId24"/>
    <sheet name="Credit_2017Q1" sheetId="66" r:id="rId25"/>
    <sheet name="Credit_2016Q4" sheetId="65" r:id="rId26"/>
    <sheet name="Credit_2016Q3" sheetId="64" r:id="rId27"/>
    <sheet name="Credit_2016Q2" sheetId="63" r:id="rId28"/>
    <sheet name="Credit_2016Q1" sheetId="61" r:id="rId29"/>
    <sheet name="Credit_2015Q4" sheetId="60" r:id="rId30"/>
    <sheet name="Credit_2015Q3" sheetId="58" r:id="rId31"/>
    <sheet name="Credit_2015Q2" sheetId="57" r:id="rId32"/>
    <sheet name="Credit_2015Q1" sheetId="56" r:id="rId33"/>
    <sheet name="Credit_2014Q4" sheetId="55" r:id="rId34"/>
    <sheet name="Credit_2014Q3" sheetId="54" r:id="rId35"/>
    <sheet name="Credit_2014Q2" sheetId="52" r:id="rId36"/>
    <sheet name="Credit_2014Q1" sheetId="51" r:id="rId37"/>
    <sheet name="Credit_2013Q4" sheetId="50" r:id="rId38"/>
    <sheet name="Credit_2013Q3" sheetId="49" r:id="rId39"/>
    <sheet name="Credit_2013Q2" sheetId="43" r:id="rId40"/>
    <sheet name="Credit_2013Q1" sheetId="40" r:id="rId41"/>
    <sheet name="Credit_2012Q4" sheetId="34" r:id="rId42"/>
    <sheet name="Credit_2012Q3" sheetId="45" r:id="rId43"/>
    <sheet name="Credit_2012Q2" sheetId="46" r:id="rId44"/>
    <sheet name="Credit_2012Q1" sheetId="47" r:id="rId45"/>
    <sheet name="Credit_2011Q4" sheetId="28" r:id="rId46"/>
    <sheet name="Credit_2011Q3" sheetId="27" r:id="rId47"/>
    <sheet name="Credit_2011Q2" sheetId="26" r:id="rId48"/>
    <sheet name="Credit_2011Q1" sheetId="25" r:id="rId49"/>
    <sheet name="Credit_2010Q4" sheetId="24" r:id="rId50"/>
    <sheet name="Credit_2009Q4" sheetId="20" r:id="rId51"/>
    <sheet name="Credit_2008Q4" sheetId="16" r:id="rId52"/>
    <sheet name="Credit_2007Q4" sheetId="17" r:id="rId53"/>
    <sheet name="Credit_2006Q4" sheetId="11" r:id="rId54"/>
    <sheet name="Credit_2001Q4" sheetId="8" r:id="rId55"/>
    <sheet name="Reg_Percent_2020" sheetId="86" r:id="rId56"/>
    <sheet name="Reg_Percent_2019" sheetId="82" r:id="rId57"/>
    <sheet name="Reg_Percent_2018" sheetId="77" r:id="rId58"/>
    <sheet name="Reg_Percent_2017" sheetId="72" r:id="rId59"/>
    <sheet name="Reg_Percent_2016" sheetId="67" r:id="rId60"/>
    <sheet name="Reg_Percent_2015" sheetId="62" r:id="rId61"/>
    <sheet name="Reg_Percent_2014" sheetId="59" r:id="rId62"/>
    <sheet name="Reg_Percent_2013" sheetId="53" r:id="rId63"/>
    <sheet name="Reg_Percent_2012" sheetId="44" r:id="rId64"/>
    <sheet name="Reg_Percent_2011" sheetId="38" r:id="rId65"/>
    <sheet name="Reg_Percent_2010" sheetId="48" r:id="rId66"/>
    <sheet name="Scale" sheetId="41" r:id="rId67"/>
  </sheets>
  <externalReferences>
    <externalReference r:id="rId68"/>
    <externalReference r:id="rId69"/>
    <externalReference r:id="rId70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C68" i="90" l="1"/>
  <c r="B68" i="90" s="1"/>
  <c r="AH67" i="90"/>
  <c r="AG67" i="90"/>
  <c r="AF67" i="90"/>
  <c r="AH66" i="90"/>
  <c r="AG66" i="90"/>
  <c r="AF66" i="90"/>
  <c r="AH65" i="90"/>
  <c r="AG65" i="90"/>
  <c r="AF65" i="90"/>
  <c r="AH64" i="90"/>
  <c r="AG64" i="90"/>
  <c r="AF64" i="90"/>
  <c r="BI63" i="90"/>
  <c r="BH63" i="90"/>
  <c r="BG63" i="90"/>
  <c r="BF63" i="90"/>
  <c r="AV63" i="90"/>
  <c r="AH63" i="90"/>
  <c r="AG63" i="90"/>
  <c r="AF63" i="90"/>
  <c r="AV62" i="90"/>
  <c r="AH62" i="90"/>
  <c r="AG62" i="90"/>
  <c r="AF62" i="90"/>
  <c r="G62" i="90"/>
  <c r="AV61" i="90"/>
  <c r="AV60" i="90"/>
  <c r="AH60" i="90"/>
  <c r="AG60" i="90"/>
  <c r="AF60" i="90"/>
  <c r="AF61" i="90" s="1"/>
  <c r="G60" i="90"/>
  <c r="E60" i="90" s="1"/>
  <c r="AV59" i="90"/>
  <c r="AH59" i="90"/>
  <c r="AG59" i="90"/>
  <c r="AF59" i="90"/>
  <c r="G59" i="90"/>
  <c r="E59" i="90" s="1"/>
  <c r="AV58" i="90"/>
  <c r="AH58" i="90"/>
  <c r="AG58" i="90"/>
  <c r="AF58" i="90"/>
  <c r="G58" i="90"/>
  <c r="AV57" i="90"/>
  <c r="AH57" i="90"/>
  <c r="AG57" i="90"/>
  <c r="AF57" i="90"/>
  <c r="G57" i="90"/>
  <c r="AV56" i="90"/>
  <c r="AH56" i="90"/>
  <c r="AG56" i="90"/>
  <c r="AF56" i="90"/>
  <c r="G56" i="90"/>
  <c r="AV55" i="90"/>
  <c r="AH55" i="90"/>
  <c r="AG55" i="90"/>
  <c r="AF55" i="90"/>
  <c r="G55" i="90"/>
  <c r="AV54" i="90"/>
  <c r="AH54" i="90"/>
  <c r="AG54" i="90"/>
  <c r="AF54" i="90"/>
  <c r="G54" i="90"/>
  <c r="AV53" i="90"/>
  <c r="AH53" i="90"/>
  <c r="AG53" i="90"/>
  <c r="AF53" i="90"/>
  <c r="G53" i="90"/>
  <c r="AV52" i="90"/>
  <c r="AH52" i="90"/>
  <c r="AG52" i="90"/>
  <c r="AF52" i="90"/>
  <c r="AV51" i="90"/>
  <c r="AH51" i="90"/>
  <c r="AG51" i="90"/>
  <c r="AF51" i="90"/>
  <c r="AV50" i="90"/>
  <c r="AH50" i="90"/>
  <c r="AG50" i="90"/>
  <c r="AF50" i="90"/>
  <c r="AV49" i="90"/>
  <c r="AV48" i="90"/>
  <c r="AV47" i="90"/>
  <c r="AV46" i="90"/>
  <c r="AV45" i="90"/>
  <c r="AV44" i="90"/>
  <c r="AV43" i="90"/>
  <c r="AV42" i="90"/>
  <c r="AV41" i="90"/>
  <c r="AV40" i="90"/>
  <c r="AV39" i="90"/>
  <c r="AV38" i="90"/>
  <c r="AV37" i="90"/>
  <c r="AV36" i="90"/>
  <c r="AV35" i="90"/>
  <c r="AV34" i="90"/>
  <c r="AV33" i="90"/>
  <c r="AV32" i="90"/>
  <c r="AV31" i="90"/>
  <c r="AV30" i="90"/>
  <c r="AV29" i="90"/>
  <c r="AV28" i="90"/>
  <c r="AV27" i="90"/>
  <c r="AV26" i="90"/>
  <c r="AV25" i="90"/>
  <c r="AV24" i="90"/>
  <c r="AV23" i="90"/>
  <c r="AV22" i="90"/>
  <c r="AV21" i="90"/>
  <c r="AV20" i="90"/>
  <c r="AV19" i="90"/>
  <c r="AV18" i="90"/>
  <c r="AV17" i="90"/>
  <c r="AV16" i="90"/>
  <c r="L16" i="90" a="1"/>
  <c r="L16" i="90" s="1"/>
  <c r="AV15" i="90"/>
  <c r="AV14" i="90"/>
  <c r="AV13" i="90"/>
  <c r="L13" i="90"/>
  <c r="AV12" i="90"/>
  <c r="L12" i="90"/>
  <c r="AV11" i="90"/>
  <c r="L11" i="90"/>
  <c r="AV10" i="90"/>
  <c r="L10" i="90"/>
  <c r="AV9" i="90"/>
  <c r="L9" i="90"/>
  <c r="AV8" i="90"/>
  <c r="L8" i="90"/>
  <c r="BC7" i="90"/>
  <c r="BC8" i="90" s="1"/>
  <c r="BC9" i="90" s="1"/>
  <c r="BC10" i="90" s="1"/>
  <c r="AV7" i="90"/>
  <c r="AF7" i="90"/>
  <c r="AF8" i="90" s="1"/>
  <c r="AF9" i="90" s="1"/>
  <c r="AF10" i="90" s="1"/>
  <c r="AF11" i="90" s="1"/>
  <c r="AF12" i="90" s="1"/>
  <c r="AF13" i="90" s="1"/>
  <c r="AF14" i="90" s="1"/>
  <c r="AF15" i="90" s="1"/>
  <c r="AF16" i="90" s="1"/>
  <c r="AF17" i="90" s="1"/>
  <c r="AF18" i="90" s="1"/>
  <c r="AF19" i="90" s="1"/>
  <c r="AF20" i="90" s="1"/>
  <c r="AF21" i="90" s="1"/>
  <c r="AF22" i="90" s="1"/>
  <c r="AF23" i="90" s="1"/>
  <c r="AF24" i="90" s="1"/>
  <c r="AF25" i="90" s="1"/>
  <c r="AF26" i="90" s="1"/>
  <c r="AF27" i="90" s="1"/>
  <c r="AF28" i="90" s="1"/>
  <c r="AF29" i="90" s="1"/>
  <c r="AF30" i="90" s="1"/>
  <c r="AF31" i="90" s="1"/>
  <c r="AF32" i="90" s="1"/>
  <c r="AF33" i="90" s="1"/>
  <c r="AF34" i="90" s="1"/>
  <c r="AF35" i="90" s="1"/>
  <c r="AF36" i="90" s="1"/>
  <c r="AF37" i="90" s="1"/>
  <c r="AF38" i="90" s="1"/>
  <c r="AF39" i="90" s="1"/>
  <c r="AF40" i="90" s="1"/>
  <c r="AF41" i="90" s="1"/>
  <c r="AF42" i="90" s="1"/>
  <c r="AF43" i="90" s="1"/>
  <c r="AF44" i="90" s="1"/>
  <c r="AF45" i="90" s="1"/>
  <c r="AF46" i="90" s="1"/>
  <c r="AF47" i="90" s="1"/>
  <c r="AF48" i="90" s="1"/>
  <c r="AF49" i="90" s="1"/>
  <c r="AL4" i="90"/>
  <c r="AL2" i="90" s="1"/>
  <c r="AK4" i="90"/>
  <c r="AK2" i="90" s="1"/>
  <c r="AJ4" i="90"/>
  <c r="AJ2" i="90" s="1"/>
  <c r="G3" i="90"/>
  <c r="E2" i="90"/>
  <c r="E3" i="90" s="1"/>
  <c r="A1" i="90"/>
  <c r="E6" i="90"/>
  <c r="G15" i="90"/>
  <c r="AW9" i="90" l="1"/>
  <c r="AX9" i="90" s="1"/>
  <c r="AW8" i="90"/>
  <c r="BC11" i="90"/>
  <c r="AX8" i="90"/>
  <c r="AW59" i="90"/>
  <c r="AW52" i="90"/>
  <c r="AW50" i="90"/>
  <c r="AX50" i="90" s="1"/>
  <c r="AW48" i="90"/>
  <c r="AX48" i="90" s="1"/>
  <c r="AW62" i="90"/>
  <c r="AW53" i="90"/>
  <c r="AX53" i="90" s="1"/>
  <c r="AW46" i="90"/>
  <c r="AX46" i="90" s="1"/>
  <c r="AW38" i="90"/>
  <c r="AX38" i="90" s="1"/>
  <c r="AW55" i="90"/>
  <c r="AX55" i="90" s="1"/>
  <c r="AW44" i="90"/>
  <c r="AX44" i="90" s="1"/>
  <c r="AW60" i="90"/>
  <c r="AX60" i="90" s="1"/>
  <c r="AW47" i="90"/>
  <c r="AX47" i="90" s="1"/>
  <c r="AW41" i="90"/>
  <c r="AX41" i="90" s="1"/>
  <c r="AW37" i="90"/>
  <c r="AX37" i="90" s="1"/>
  <c r="AW57" i="90"/>
  <c r="AX57" i="90" s="1"/>
  <c r="AW34" i="90"/>
  <c r="AX34" i="90" s="1"/>
  <c r="AW14" i="90"/>
  <c r="AW30" i="90"/>
  <c r="AX30" i="90" s="1"/>
  <c r="AW26" i="90"/>
  <c r="AX26" i="90" s="1"/>
  <c r="AW19" i="90"/>
  <c r="AX19" i="90" s="1"/>
  <c r="AW10" i="90"/>
  <c r="AX10" i="90" s="1"/>
  <c r="AW12" i="90"/>
  <c r="AX12" i="90" s="1"/>
  <c r="L14" i="90"/>
  <c r="Y14" i="90" s="1"/>
  <c r="AX14" i="90"/>
  <c r="AW7" i="90"/>
  <c r="AW11" i="90"/>
  <c r="AX11" i="90" s="1"/>
  <c r="AW15" i="90"/>
  <c r="AX15" i="90" s="1"/>
  <c r="AW16" i="90"/>
  <c r="AX16" i="90" s="1"/>
  <c r="AW20" i="90"/>
  <c r="AX20" i="90" s="1"/>
  <c r="AX7" i="90"/>
  <c r="AW13" i="90"/>
  <c r="AX13" i="90" s="1"/>
  <c r="AW23" i="90"/>
  <c r="AX23" i="90" s="1"/>
  <c r="AW24" i="90"/>
  <c r="AX24" i="90" s="1"/>
  <c r="AW27" i="90"/>
  <c r="AX27" i="90" s="1"/>
  <c r="AW18" i="90"/>
  <c r="AX18" i="90" s="1"/>
  <c r="AW22" i="90"/>
  <c r="AX22" i="90" s="1"/>
  <c r="AW33" i="90"/>
  <c r="AX33" i="90" s="1"/>
  <c r="AW17" i="90"/>
  <c r="AX17" i="90" s="1"/>
  <c r="AW21" i="90"/>
  <c r="AX21" i="90" s="1"/>
  <c r="AW25" i="90"/>
  <c r="AX25" i="90" s="1"/>
  <c r="AW31" i="90"/>
  <c r="AX31" i="90" s="1"/>
  <c r="AW51" i="90"/>
  <c r="AX51" i="90" s="1"/>
  <c r="AW29" i="90"/>
  <c r="AX29" i="90" s="1"/>
  <c r="AW39" i="90"/>
  <c r="AX39" i="90" s="1"/>
  <c r="AW43" i="90"/>
  <c r="AX43" i="90" s="1"/>
  <c r="AW56" i="90"/>
  <c r="AX56" i="90" s="1"/>
  <c r="AW28" i="90"/>
  <c r="AX28" i="90" s="1"/>
  <c r="AW32" i="90"/>
  <c r="AX32" i="90" s="1"/>
  <c r="AW35" i="90"/>
  <c r="AX35" i="90" s="1"/>
  <c r="AW42" i="90"/>
  <c r="AX42" i="90" s="1"/>
  <c r="AW36" i="90"/>
  <c r="AX36" i="90" s="1"/>
  <c r="AW40" i="90"/>
  <c r="AX40" i="90" s="1"/>
  <c r="AW63" i="90"/>
  <c r="AX63" i="90" s="1"/>
  <c r="AW49" i="90"/>
  <c r="AX49" i="90" s="1"/>
  <c r="AW54" i="90"/>
  <c r="AX54" i="90" s="1"/>
  <c r="AX62" i="90"/>
  <c r="AX52" i="90"/>
  <c r="AX59" i="90"/>
  <c r="AW61" i="90"/>
  <c r="AX61" i="90" s="1"/>
  <c r="AW45" i="90"/>
  <c r="AX45" i="90" s="1"/>
  <c r="AW58" i="90"/>
  <c r="AX58" i="90" s="1"/>
  <c r="C68" i="89"/>
  <c r="B68" i="89" s="1"/>
  <c r="AH67" i="89"/>
  <c r="AG67" i="89"/>
  <c r="AF67" i="89"/>
  <c r="AH66" i="89"/>
  <c r="AG66" i="89"/>
  <c r="AF66" i="89"/>
  <c r="AH65" i="89"/>
  <c r="AG65" i="89"/>
  <c r="AF65" i="89"/>
  <c r="AH64" i="89"/>
  <c r="AG64" i="89"/>
  <c r="AF64" i="89"/>
  <c r="BI63" i="89"/>
  <c r="BH63" i="89"/>
  <c r="BG63" i="89"/>
  <c r="BF63" i="89"/>
  <c r="AV63" i="89"/>
  <c r="AH63" i="89"/>
  <c r="AG63" i="89"/>
  <c r="AF63" i="89"/>
  <c r="AV62" i="89"/>
  <c r="AH62" i="89"/>
  <c r="AG62" i="89"/>
  <c r="AF62" i="89"/>
  <c r="G62" i="89"/>
  <c r="AV61" i="89"/>
  <c r="AV60" i="89"/>
  <c r="AH60" i="89"/>
  <c r="AG60" i="89"/>
  <c r="AF60" i="89"/>
  <c r="AF61" i="89" s="1"/>
  <c r="G60" i="89"/>
  <c r="E60" i="89" s="1"/>
  <c r="AV59" i="89"/>
  <c r="AH59" i="89"/>
  <c r="AG59" i="89"/>
  <c r="AF59" i="89"/>
  <c r="G59" i="89"/>
  <c r="E59" i="89" s="1"/>
  <c r="AV58" i="89"/>
  <c r="AH58" i="89"/>
  <c r="AG58" i="89"/>
  <c r="AF58" i="89"/>
  <c r="G58" i="89"/>
  <c r="AV57" i="89"/>
  <c r="AH57" i="89"/>
  <c r="AG57" i="89"/>
  <c r="AF57" i="89"/>
  <c r="G57" i="89"/>
  <c r="AV56" i="89"/>
  <c r="AH56" i="89"/>
  <c r="AG56" i="89"/>
  <c r="AF56" i="89"/>
  <c r="G56" i="89"/>
  <c r="AV55" i="89"/>
  <c r="AH55" i="89"/>
  <c r="AG55" i="89"/>
  <c r="AF55" i="89"/>
  <c r="G55" i="89"/>
  <c r="AV54" i="89"/>
  <c r="AH54" i="89"/>
  <c r="AG54" i="89"/>
  <c r="AF54" i="89"/>
  <c r="G54" i="89"/>
  <c r="AV53" i="89"/>
  <c r="AH53" i="89"/>
  <c r="AG53" i="89"/>
  <c r="AF53" i="89"/>
  <c r="G53" i="89"/>
  <c r="AV52" i="89"/>
  <c r="AH52" i="89"/>
  <c r="AG52" i="89"/>
  <c r="AF52" i="89"/>
  <c r="AV51" i="89"/>
  <c r="AH51" i="89"/>
  <c r="AG51" i="89"/>
  <c r="AF51" i="89"/>
  <c r="AV50" i="89"/>
  <c r="AH50" i="89"/>
  <c r="AG50" i="89"/>
  <c r="AF50" i="89"/>
  <c r="AV49" i="89"/>
  <c r="AV48" i="89"/>
  <c r="AV47" i="89"/>
  <c r="AV46" i="89"/>
  <c r="AV45" i="89"/>
  <c r="AV44" i="89"/>
  <c r="AV43" i="89"/>
  <c r="AV42" i="89"/>
  <c r="AV41" i="89"/>
  <c r="AV40" i="89"/>
  <c r="AV39" i="89"/>
  <c r="AV38" i="89"/>
  <c r="AV37" i="89"/>
  <c r="AV36" i="89"/>
  <c r="AV35" i="89"/>
  <c r="AV34" i="89"/>
  <c r="AV33" i="89"/>
  <c r="AV32" i="89"/>
  <c r="AV31" i="89"/>
  <c r="AV30" i="89"/>
  <c r="AV29" i="89"/>
  <c r="AV28" i="89"/>
  <c r="AV27" i="89"/>
  <c r="AV26" i="89"/>
  <c r="AV25" i="89"/>
  <c r="AV24" i="89"/>
  <c r="AV23" i="89"/>
  <c r="AV22" i="89"/>
  <c r="AV21" i="89"/>
  <c r="AV20" i="89"/>
  <c r="AV19" i="89"/>
  <c r="AV18" i="89"/>
  <c r="AV17" i="89"/>
  <c r="AV16" i="89"/>
  <c r="L16" i="89" a="1"/>
  <c r="L16" i="89" s="1"/>
  <c r="AV15" i="89"/>
  <c r="AV14" i="89"/>
  <c r="AV13" i="89"/>
  <c r="L13" i="89"/>
  <c r="AV12" i="89"/>
  <c r="L12" i="89"/>
  <c r="AV11" i="89"/>
  <c r="L11" i="89"/>
  <c r="AV10" i="89"/>
  <c r="L10" i="89"/>
  <c r="AV9" i="89"/>
  <c r="L9" i="89"/>
  <c r="AV8" i="89"/>
  <c r="L8" i="89"/>
  <c r="BC7" i="89"/>
  <c r="BC8" i="89" s="1"/>
  <c r="AV7" i="89"/>
  <c r="AF7" i="89"/>
  <c r="AF8" i="89" s="1"/>
  <c r="AF9" i="89" s="1"/>
  <c r="AF10" i="89" s="1"/>
  <c r="AF11" i="89" s="1"/>
  <c r="AF12" i="89" s="1"/>
  <c r="AF13" i="89" s="1"/>
  <c r="AF14" i="89" s="1"/>
  <c r="AF15" i="89" s="1"/>
  <c r="AF16" i="89" s="1"/>
  <c r="AF17" i="89" s="1"/>
  <c r="AF18" i="89" s="1"/>
  <c r="AF19" i="89" s="1"/>
  <c r="AF20" i="89" s="1"/>
  <c r="AF21" i="89" s="1"/>
  <c r="AF22" i="89" s="1"/>
  <c r="AF23" i="89" s="1"/>
  <c r="AF24" i="89" s="1"/>
  <c r="AF25" i="89" s="1"/>
  <c r="AF26" i="89" s="1"/>
  <c r="AF27" i="89" s="1"/>
  <c r="AF28" i="89" s="1"/>
  <c r="AF29" i="89" s="1"/>
  <c r="AF30" i="89" s="1"/>
  <c r="AF31" i="89" s="1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L4" i="89"/>
  <c r="AK4" i="89"/>
  <c r="AK2" i="89" s="1"/>
  <c r="AJ4" i="89"/>
  <c r="AJ2" i="89" s="1"/>
  <c r="G3" i="89"/>
  <c r="AL2" i="89"/>
  <c r="E2" i="89"/>
  <c r="E3" i="89" s="1"/>
  <c r="A1" i="89"/>
  <c r="E6" i="89"/>
  <c r="AJ8" i="89"/>
  <c r="E15" i="90"/>
  <c r="AJ60" i="90"/>
  <c r="AJ50" i="90"/>
  <c r="AJ61" i="90"/>
  <c r="AJ52" i="90"/>
  <c r="AJ46" i="90"/>
  <c r="AJ58" i="90"/>
  <c r="AJ39" i="90"/>
  <c r="AJ26" i="90"/>
  <c r="AJ32" i="90"/>
  <c r="AJ19" i="90"/>
  <c r="AJ20" i="90"/>
  <c r="AJ23" i="90"/>
  <c r="AJ33" i="90"/>
  <c r="AJ10" i="90"/>
  <c r="G48" i="90"/>
  <c r="G46" i="90"/>
  <c r="G45" i="90"/>
  <c r="G30" i="90"/>
  <c r="G31" i="90"/>
  <c r="G32" i="90"/>
  <c r="G23" i="90"/>
  <c r="G13" i="90"/>
  <c r="G9" i="90"/>
  <c r="G25" i="90"/>
  <c r="G22" i="90"/>
  <c r="G44" i="90"/>
  <c r="G42" i="90"/>
  <c r="G26" i="90"/>
  <c r="G27" i="90"/>
  <c r="G28" i="90"/>
  <c r="G12" i="90"/>
  <c r="G8" i="90"/>
  <c r="G21" i="90"/>
  <c r="AJ8" i="90"/>
  <c r="G49" i="90"/>
  <c r="G34" i="90"/>
  <c r="G39" i="90"/>
  <c r="G10" i="90"/>
  <c r="G24" i="90"/>
  <c r="AJ57" i="90"/>
  <c r="AJ48" i="90"/>
  <c r="AJ65" i="90"/>
  <c r="AJ63" i="90"/>
  <c r="AJ43" i="90"/>
  <c r="AJ51" i="90"/>
  <c r="AJ35" i="90"/>
  <c r="AJ31" i="90"/>
  <c r="AJ28" i="90"/>
  <c r="AJ36" i="90"/>
  <c r="AJ16" i="90"/>
  <c r="AJ21" i="90"/>
  <c r="AJ22" i="90"/>
  <c r="AJ9" i="90"/>
  <c r="G41" i="90"/>
  <c r="G20" i="90"/>
  <c r="G18" i="90"/>
  <c r="G47" i="90"/>
  <c r="G14" i="90"/>
  <c r="AJ55" i="90"/>
  <c r="AJ44" i="90"/>
  <c r="AJ62" i="90"/>
  <c r="AJ56" i="90"/>
  <c r="AJ41" i="90"/>
  <c r="AJ38" i="90"/>
  <c r="AJ34" i="90"/>
  <c r="AJ27" i="90"/>
  <c r="AJ40" i="90"/>
  <c r="AJ29" i="90"/>
  <c r="AJ59" i="90"/>
  <c r="AJ17" i="90"/>
  <c r="AJ18" i="90"/>
  <c r="AJ15" i="90"/>
  <c r="AJ11" i="90"/>
  <c r="G61" i="90"/>
  <c r="G37" i="90"/>
  <c r="G38" i="90"/>
  <c r="G40" i="90"/>
  <c r="G43" i="90"/>
  <c r="G33" i="90"/>
  <c r="G16" i="90"/>
  <c r="G11" i="90"/>
  <c r="G35" i="90"/>
  <c r="G17" i="90"/>
  <c r="G7" i="90"/>
  <c r="AJ67" i="90"/>
  <c r="AJ53" i="90"/>
  <c r="AJ64" i="90"/>
  <c r="AJ54" i="90"/>
  <c r="AJ49" i="90"/>
  <c r="AJ37" i="90"/>
  <c r="AJ66" i="90"/>
  <c r="AJ30" i="90"/>
  <c r="AJ47" i="90"/>
  <c r="AJ25" i="90"/>
  <c r="AJ24" i="90"/>
  <c r="AJ42" i="90"/>
  <c r="AJ45" i="90"/>
  <c r="AJ14" i="90"/>
  <c r="AJ13" i="90"/>
  <c r="AJ7" i="90"/>
  <c r="G36" i="90"/>
  <c r="G19" i="90"/>
  <c r="G29" i="90"/>
  <c r="AJ12" i="90"/>
  <c r="C77" i="90" l="1"/>
  <c r="M13" i="90"/>
  <c r="M8" i="90"/>
  <c r="AY54" i="90"/>
  <c r="AY40" i="90"/>
  <c r="AL66" i="90"/>
  <c r="AK66" i="90"/>
  <c r="AM66" i="90" s="1"/>
  <c r="AL54" i="90"/>
  <c r="AK54" i="90"/>
  <c r="AM54" i="90" s="1"/>
  <c r="AK64" i="90"/>
  <c r="AM64" i="90" s="1"/>
  <c r="AL64" i="90"/>
  <c r="AL53" i="90"/>
  <c r="AK53" i="90"/>
  <c r="AM53" i="90" s="1"/>
  <c r="AL67" i="90"/>
  <c r="AK67" i="90"/>
  <c r="AM67" i="90" s="1"/>
  <c r="AL59" i="90"/>
  <c r="AK59" i="90"/>
  <c r="AM59" i="90" s="1"/>
  <c r="AL56" i="90"/>
  <c r="AK56" i="90"/>
  <c r="AM56" i="90" s="1"/>
  <c r="AL62" i="90"/>
  <c r="AK62" i="90"/>
  <c r="AM62" i="90" s="1"/>
  <c r="AL55" i="90"/>
  <c r="AK55" i="90"/>
  <c r="AM55" i="90" s="1"/>
  <c r="AL51" i="90"/>
  <c r="AK51" i="90"/>
  <c r="AM51" i="90" s="1"/>
  <c r="AL63" i="90"/>
  <c r="AK63" i="90"/>
  <c r="AM63" i="90" s="1"/>
  <c r="AL65" i="90"/>
  <c r="AK65" i="90"/>
  <c r="AM65" i="90" s="1"/>
  <c r="AL57" i="90"/>
  <c r="AK57" i="90"/>
  <c r="AM57" i="90" s="1"/>
  <c r="AL58" i="90"/>
  <c r="AK58" i="90"/>
  <c r="AM58" i="90" s="1"/>
  <c r="AL52" i="90"/>
  <c r="AK52" i="90"/>
  <c r="AM52" i="90" s="1"/>
  <c r="AK50" i="90"/>
  <c r="AM50" i="90" s="1"/>
  <c r="AL50" i="90"/>
  <c r="AL60" i="90"/>
  <c r="AK60" i="90"/>
  <c r="AM60" i="90" s="1"/>
  <c r="AY56" i="90"/>
  <c r="AY17" i="90"/>
  <c r="AY18" i="90"/>
  <c r="AY15" i="90"/>
  <c r="AY47" i="90"/>
  <c r="AY32" i="90"/>
  <c r="AY39" i="90"/>
  <c r="AY25" i="90"/>
  <c r="AY11" i="90"/>
  <c r="AY51" i="90"/>
  <c r="AY63" i="90"/>
  <c r="AY42" i="90"/>
  <c r="AY28" i="90"/>
  <c r="AY29" i="90"/>
  <c r="AY58" i="90"/>
  <c r="AY52" i="90"/>
  <c r="AY27" i="90"/>
  <c r="AY20" i="90"/>
  <c r="AY19" i="90"/>
  <c r="AY34" i="90"/>
  <c r="AY38" i="90"/>
  <c r="AY48" i="90"/>
  <c r="AY22" i="90"/>
  <c r="AY45" i="90"/>
  <c r="AY62" i="90"/>
  <c r="AY46" i="90"/>
  <c r="AY16" i="90"/>
  <c r="AY12" i="90"/>
  <c r="AY26" i="90"/>
  <c r="AY57" i="90"/>
  <c r="AY60" i="90"/>
  <c r="AY50" i="90"/>
  <c r="M12" i="90"/>
  <c r="BC12" i="90"/>
  <c r="AY49" i="90"/>
  <c r="AY43" i="90"/>
  <c r="AY23" i="90"/>
  <c r="AY7" i="90"/>
  <c r="AY35" i="90"/>
  <c r="AY36" i="90"/>
  <c r="AY24" i="90"/>
  <c r="AY14" i="90"/>
  <c r="AY10" i="90"/>
  <c r="AY30" i="90"/>
  <c r="AY37" i="90"/>
  <c r="AY44" i="90"/>
  <c r="AY53" i="90"/>
  <c r="AY9" i="90"/>
  <c r="AY31" i="90"/>
  <c r="AY21" i="90"/>
  <c r="AY61" i="90"/>
  <c r="AY33" i="90"/>
  <c r="AY13" i="90"/>
  <c r="AY59" i="90"/>
  <c r="M14" i="90"/>
  <c r="L5" i="90"/>
  <c r="M11" i="90"/>
  <c r="M10" i="90"/>
  <c r="M9" i="90"/>
  <c r="AY41" i="90"/>
  <c r="AY55" i="90"/>
  <c r="AY8" i="90"/>
  <c r="BC9" i="89"/>
  <c r="AW11" i="89"/>
  <c r="AW13" i="89"/>
  <c r="AW17" i="89"/>
  <c r="AX17" i="89" s="1"/>
  <c r="AW21" i="89"/>
  <c r="AX21" i="89" s="1"/>
  <c r="AW62" i="89"/>
  <c r="AW60" i="89"/>
  <c r="AX60" i="89" s="1"/>
  <c r="AW57" i="89"/>
  <c r="AX57" i="89" s="1"/>
  <c r="AW55" i="89"/>
  <c r="AX55" i="89" s="1"/>
  <c r="AW53" i="89"/>
  <c r="AX53" i="89" s="1"/>
  <c r="AW50" i="89"/>
  <c r="AX50" i="89" s="1"/>
  <c r="AW48" i="89"/>
  <c r="AX48" i="89" s="1"/>
  <c r="AW61" i="89"/>
  <c r="AX61" i="89" s="1"/>
  <c r="AW47" i="89"/>
  <c r="AW42" i="89"/>
  <c r="AX42" i="89" s="1"/>
  <c r="AW40" i="89"/>
  <c r="AX40" i="89" s="1"/>
  <c r="AW36" i="89"/>
  <c r="AX36" i="89" s="1"/>
  <c r="AW59" i="89"/>
  <c r="AW51" i="89"/>
  <c r="AX51" i="89" s="1"/>
  <c r="AW43" i="89"/>
  <c r="AX43" i="89" s="1"/>
  <c r="AW38" i="89"/>
  <c r="AW34" i="89"/>
  <c r="AW28" i="89"/>
  <c r="AX28" i="89" s="1"/>
  <c r="AW24" i="89"/>
  <c r="AX24" i="89" s="1"/>
  <c r="AW20" i="89"/>
  <c r="AX20" i="89" s="1"/>
  <c r="AW16" i="89"/>
  <c r="AX16" i="89" s="1"/>
  <c r="AW32" i="89"/>
  <c r="AX32" i="89" s="1"/>
  <c r="AW30" i="89"/>
  <c r="AX30" i="89" s="1"/>
  <c r="AW25" i="89"/>
  <c r="AX25" i="89" s="1"/>
  <c r="AW14" i="89"/>
  <c r="AX14" i="89" s="1"/>
  <c r="AW7" i="89"/>
  <c r="AX7" i="89" s="1"/>
  <c r="AW9" i="89"/>
  <c r="AX9" i="89" s="1"/>
  <c r="AX11" i="89"/>
  <c r="AX13" i="89"/>
  <c r="M10" i="89"/>
  <c r="AW10" i="89"/>
  <c r="AW12" i="89"/>
  <c r="AX12" i="89" s="1"/>
  <c r="L14" i="89"/>
  <c r="M9" i="89" s="1"/>
  <c r="AW8" i="89"/>
  <c r="AX8" i="89" s="1"/>
  <c r="AX10" i="89"/>
  <c r="AW15" i="89"/>
  <c r="AX15" i="89" s="1"/>
  <c r="AW19" i="89"/>
  <c r="AX19" i="89" s="1"/>
  <c r="AW23" i="89"/>
  <c r="AX23" i="89" s="1"/>
  <c r="AW27" i="89"/>
  <c r="AX27" i="89" s="1"/>
  <c r="AW18" i="89"/>
  <c r="AX18" i="89" s="1"/>
  <c r="AW22" i="89"/>
  <c r="AX22" i="89" s="1"/>
  <c r="AW26" i="89"/>
  <c r="AX26" i="89" s="1"/>
  <c r="AX34" i="89"/>
  <c r="AX38" i="89"/>
  <c r="AW29" i="89"/>
  <c r="AX29" i="89" s="1"/>
  <c r="AW39" i="89"/>
  <c r="AX39" i="89" s="1"/>
  <c r="AW31" i="89"/>
  <c r="AX31" i="89" s="1"/>
  <c r="AW33" i="89"/>
  <c r="AX33" i="89" s="1"/>
  <c r="AW35" i="89"/>
  <c r="AX35" i="89" s="1"/>
  <c r="AW52" i="89"/>
  <c r="AX52" i="89" s="1"/>
  <c r="AW54" i="89"/>
  <c r="AX54" i="89" s="1"/>
  <c r="AW56" i="89"/>
  <c r="AX56" i="89" s="1"/>
  <c r="AW58" i="89"/>
  <c r="AX58" i="89" s="1"/>
  <c r="AX59" i="89"/>
  <c r="AW46" i="89"/>
  <c r="AX46" i="89" s="1"/>
  <c r="AW37" i="89"/>
  <c r="AX37" i="89" s="1"/>
  <c r="AW41" i="89"/>
  <c r="AX41" i="89" s="1"/>
  <c r="AW44" i="89"/>
  <c r="AX44" i="89" s="1"/>
  <c r="AX47" i="89"/>
  <c r="AW49" i="89"/>
  <c r="AX49" i="89" s="1"/>
  <c r="AX62" i="89"/>
  <c r="AW63" i="89"/>
  <c r="AX63" i="89" s="1"/>
  <c r="AW45" i="89"/>
  <c r="AX45" i="89" s="1"/>
  <c r="C68" i="88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G20" i="88"/>
  <c r="G27" i="88"/>
  <c r="E6" i="88"/>
  <c r="G7" i="88"/>
  <c r="AJ11" i="88"/>
  <c r="G39" i="89"/>
  <c r="G19" i="89"/>
  <c r="G26" i="89"/>
  <c r="AJ44" i="89"/>
  <c r="AJ41" i="89"/>
  <c r="AJ25" i="89"/>
  <c r="G15" i="89"/>
  <c r="G47" i="89"/>
  <c r="G38" i="89"/>
  <c r="G10" i="89"/>
  <c r="AJ67" i="89"/>
  <c r="AJ42" i="89"/>
  <c r="AJ19" i="89"/>
  <c r="AJ10" i="89"/>
  <c r="G37" i="89"/>
  <c r="G13" i="89"/>
  <c r="AJ65" i="89"/>
  <c r="AJ61" i="89"/>
  <c r="AJ46" i="89"/>
  <c r="AJ17" i="89"/>
  <c r="G36" i="89"/>
  <c r="G20" i="89"/>
  <c r="AJ38" i="89"/>
  <c r="G32" i="89"/>
  <c r="G16" i="89"/>
  <c r="AJ66" i="89"/>
  <c r="AJ45" i="89"/>
  <c r="AJ34" i="89"/>
  <c r="AJ22" i="89"/>
  <c r="AL8" i="89"/>
  <c r="G49" i="89"/>
  <c r="G31" i="89"/>
  <c r="G21" i="89"/>
  <c r="AJ53" i="89"/>
  <c r="AJ40" i="89"/>
  <c r="AJ16" i="89"/>
  <c r="G48" i="89"/>
  <c r="G34" i="89"/>
  <c r="G9" i="89"/>
  <c r="AJ59" i="89"/>
  <c r="AJ56" i="89"/>
  <c r="AJ29" i="89"/>
  <c r="AJ14" i="89"/>
  <c r="G43" i="89"/>
  <c r="G12" i="89"/>
  <c r="AJ51" i="89"/>
  <c r="AJ54" i="89"/>
  <c r="AJ27" i="89"/>
  <c r="AJ7" i="89"/>
  <c r="G8" i="89"/>
  <c r="AJ57" i="89"/>
  <c r="AJ24" i="89"/>
  <c r="AJ13" i="89"/>
  <c r="AK8" i="89"/>
  <c r="G42" i="89"/>
  <c r="G11" i="89"/>
  <c r="AJ47" i="89"/>
  <c r="AJ52" i="89"/>
  <c r="AJ23" i="89"/>
  <c r="AJ11" i="89"/>
  <c r="AJ12" i="89"/>
  <c r="G35" i="89"/>
  <c r="G28" i="89"/>
  <c r="G22" i="89"/>
  <c r="AJ64" i="89"/>
  <c r="AJ37" i="89"/>
  <c r="AJ21" i="89"/>
  <c r="G45" i="89"/>
  <c r="G27" i="89"/>
  <c r="G17" i="89"/>
  <c r="AJ60" i="89"/>
  <c r="AJ39" i="89"/>
  <c r="AJ28" i="89"/>
  <c r="G44" i="89"/>
  <c r="G30" i="89"/>
  <c r="AJ35" i="89"/>
  <c r="G61" i="89"/>
  <c r="G33" i="89"/>
  <c r="G25" i="89"/>
  <c r="AJ55" i="89"/>
  <c r="AJ43" i="89"/>
  <c r="AJ20" i="89"/>
  <c r="G7" i="89"/>
  <c r="AJ15" i="89"/>
  <c r="G41" i="89"/>
  <c r="G14" i="89"/>
  <c r="AJ62" i="89"/>
  <c r="AJ58" i="89"/>
  <c r="AJ30" i="89"/>
  <c r="AJ18" i="89"/>
  <c r="G40" i="89"/>
  <c r="G24" i="89"/>
  <c r="G18" i="89"/>
  <c r="AJ50" i="89"/>
  <c r="AJ36" i="89"/>
  <c r="AJ33" i="89"/>
  <c r="G46" i="89"/>
  <c r="G23" i="89"/>
  <c r="G29" i="89"/>
  <c r="AJ48" i="89"/>
  <c r="AJ32" i="89"/>
  <c r="AJ31" i="89"/>
  <c r="AJ9" i="89"/>
  <c r="AJ63" i="89"/>
  <c r="AJ49" i="89"/>
  <c r="AJ26" i="89"/>
  <c r="AK12" i="90"/>
  <c r="E36" i="90"/>
  <c r="AL13" i="90"/>
  <c r="AL45" i="90"/>
  <c r="AK24" i="90"/>
  <c r="AK47" i="90"/>
  <c r="AL49" i="90"/>
  <c r="E11" i="90"/>
  <c r="E40" i="90"/>
  <c r="AK11" i="90"/>
  <c r="AL18" i="90"/>
  <c r="AL40" i="90"/>
  <c r="AL34" i="90"/>
  <c r="AL41" i="90"/>
  <c r="E18" i="90"/>
  <c r="AK9" i="90"/>
  <c r="AK21" i="90"/>
  <c r="AK36" i="90"/>
  <c r="AL31" i="90"/>
  <c r="AL48" i="90"/>
  <c r="E10" i="90"/>
  <c r="AL8" i="90"/>
  <c r="E12" i="90"/>
  <c r="E42" i="90"/>
  <c r="E9" i="90"/>
  <c r="E31" i="90"/>
  <c r="E48" i="90"/>
  <c r="AK33" i="90"/>
  <c r="AL20" i="90"/>
  <c r="AK32" i="90"/>
  <c r="AK39" i="90"/>
  <c r="AK46" i="90"/>
  <c r="AL61" i="90"/>
  <c r="E35" i="90"/>
  <c r="E61" i="90"/>
  <c r="AK29" i="90"/>
  <c r="AL38" i="90"/>
  <c r="AK44" i="90"/>
  <c r="E47" i="90"/>
  <c r="AL21" i="90"/>
  <c r="AK31" i="90"/>
  <c r="E49" i="90"/>
  <c r="E26" i="90"/>
  <c r="E32" i="90"/>
  <c r="AK20" i="90"/>
  <c r="AL32" i="90"/>
  <c r="AK61" i="90"/>
  <c r="AL12" i="90"/>
  <c r="AK7" i="90"/>
  <c r="AL14" i="90"/>
  <c r="AL42" i="90"/>
  <c r="AL25" i="90"/>
  <c r="AL30" i="90"/>
  <c r="AL37" i="90"/>
  <c r="E7" i="90"/>
  <c r="E16" i="90"/>
  <c r="E38" i="90"/>
  <c r="AL11" i="90"/>
  <c r="AK18" i="90"/>
  <c r="AK40" i="90"/>
  <c r="AK34" i="90"/>
  <c r="AK41" i="90"/>
  <c r="E20" i="90"/>
  <c r="AL22" i="90"/>
  <c r="AK16" i="90"/>
  <c r="AL28" i="90"/>
  <c r="AK35" i="90"/>
  <c r="AK43" i="90"/>
  <c r="E39" i="90"/>
  <c r="AK8" i="90"/>
  <c r="E28" i="90"/>
  <c r="E44" i="90"/>
  <c r="E13" i="90"/>
  <c r="E30" i="90"/>
  <c r="AL10" i="90"/>
  <c r="AK23" i="90"/>
  <c r="AL19" i="90"/>
  <c r="AL26" i="90"/>
  <c r="AK48" i="90"/>
  <c r="AL33" i="90"/>
  <c r="AL46" i="90"/>
  <c r="E29" i="90"/>
  <c r="AL7" i="90"/>
  <c r="AK14" i="90"/>
  <c r="AK42" i="90"/>
  <c r="AK25" i="90"/>
  <c r="AK30" i="90"/>
  <c r="AK37" i="90"/>
  <c r="E17" i="90"/>
  <c r="E33" i="90"/>
  <c r="E37" i="90"/>
  <c r="AL15" i="90"/>
  <c r="AL17" i="90"/>
  <c r="AL29" i="90"/>
  <c r="AK27" i="90"/>
  <c r="AK38" i="90"/>
  <c r="AL44" i="90"/>
  <c r="E14" i="90"/>
  <c r="E41" i="90"/>
  <c r="AK22" i="90"/>
  <c r="AL16" i="90"/>
  <c r="AK28" i="90"/>
  <c r="AL35" i="90"/>
  <c r="AL43" i="90"/>
  <c r="E34" i="90"/>
  <c r="E21" i="90"/>
  <c r="E27" i="90"/>
  <c r="E22" i="90"/>
  <c r="E23" i="90"/>
  <c r="E45" i="90"/>
  <c r="AK10" i="90"/>
  <c r="AL23" i="90"/>
  <c r="AK19" i="90"/>
  <c r="AK26" i="90"/>
  <c r="E19" i="90"/>
  <c r="AK13" i="90"/>
  <c r="AK45" i="90"/>
  <c r="AL24" i="90"/>
  <c r="AL47" i="90"/>
  <c r="AK49" i="90"/>
  <c r="E43" i="90"/>
  <c r="AK15" i="90"/>
  <c r="AK17" i="90"/>
  <c r="AL27" i="90"/>
  <c r="AL9" i="90"/>
  <c r="AL36" i="90"/>
  <c r="E24" i="90"/>
  <c r="E8" i="90"/>
  <c r="E25" i="90"/>
  <c r="E46" i="90"/>
  <c r="AL39" i="90"/>
  <c r="AG39" i="90" l="1"/>
  <c r="AH39" i="90"/>
  <c r="AH36" i="90"/>
  <c r="AG36" i="90"/>
  <c r="AH9" i="90"/>
  <c r="AG9" i="90"/>
  <c r="AH27" i="90"/>
  <c r="AG27" i="90"/>
  <c r="AM17" i="90"/>
  <c r="AM15" i="90"/>
  <c r="AM49" i="90"/>
  <c r="AH47" i="90"/>
  <c r="AG47" i="90"/>
  <c r="AG24" i="90"/>
  <c r="AH24" i="90"/>
  <c r="AM45" i="90"/>
  <c r="AM13" i="90"/>
  <c r="AM26" i="90"/>
  <c r="AM19" i="90"/>
  <c r="AG23" i="90"/>
  <c r="AH23" i="90"/>
  <c r="AM10" i="90"/>
  <c r="AH43" i="90"/>
  <c r="AG43" i="90"/>
  <c r="AH35" i="90"/>
  <c r="AG35" i="90"/>
  <c r="AM28" i="90"/>
  <c r="AH16" i="90"/>
  <c r="AG16" i="90"/>
  <c r="AM22" i="90"/>
  <c r="AG44" i="90"/>
  <c r="AH44" i="90"/>
  <c r="AM38" i="90"/>
  <c r="AM27" i="90"/>
  <c r="AH29" i="90"/>
  <c r="AG29" i="90"/>
  <c r="AG17" i="90"/>
  <c r="AH17" i="90"/>
  <c r="AH15" i="90"/>
  <c r="AG15" i="90"/>
  <c r="AM37" i="90"/>
  <c r="AM30" i="90"/>
  <c r="AM25" i="90"/>
  <c r="AM42" i="90"/>
  <c r="AM14" i="90"/>
  <c r="AH7" i="90"/>
  <c r="AG7" i="90"/>
  <c r="AG46" i="90"/>
  <c r="AH46" i="90"/>
  <c r="AH33" i="90"/>
  <c r="AG33" i="90"/>
  <c r="AM48" i="90"/>
  <c r="AH26" i="90"/>
  <c r="AG26" i="90"/>
  <c r="AH19" i="90"/>
  <c r="AG19" i="90"/>
  <c r="AM23" i="90"/>
  <c r="AH10" i="90"/>
  <c r="AG10" i="90"/>
  <c r="AM8" i="90"/>
  <c r="AM43" i="90"/>
  <c r="AM35" i="90"/>
  <c r="AG28" i="90"/>
  <c r="AH28" i="90"/>
  <c r="AM16" i="90"/>
  <c r="AH22" i="90"/>
  <c r="AG22" i="90"/>
  <c r="AM41" i="90"/>
  <c r="AM34" i="90"/>
  <c r="AM40" i="90"/>
  <c r="AM18" i="90"/>
  <c r="AH11" i="90"/>
  <c r="AG11" i="90"/>
  <c r="R16" i="90" a="1"/>
  <c r="R16" i="90" s="1"/>
  <c r="O16" i="90" a="1"/>
  <c r="O16" i="90" s="1"/>
  <c r="U16" i="90" a="1"/>
  <c r="U16" i="90" s="1"/>
  <c r="U12" i="90"/>
  <c r="V12" i="90" s="1"/>
  <c r="O11" i="90"/>
  <c r="R10" i="90"/>
  <c r="U8" i="90"/>
  <c r="U13" i="90"/>
  <c r="V13" i="90" s="1"/>
  <c r="U11" i="90"/>
  <c r="V11" i="90" s="1"/>
  <c r="O10" i="90"/>
  <c r="R9" i="90"/>
  <c r="R13" i="90"/>
  <c r="S13" i="90" s="1"/>
  <c r="R12" i="90"/>
  <c r="U10" i="90"/>
  <c r="V10" i="90" s="1"/>
  <c r="O9" i="90"/>
  <c r="R8" i="90"/>
  <c r="O13" i="90"/>
  <c r="O12" i="90"/>
  <c r="R11" i="90"/>
  <c r="U9" i="90"/>
  <c r="V9" i="90" s="1"/>
  <c r="O8" i="90"/>
  <c r="AH37" i="90"/>
  <c r="AG37" i="90"/>
  <c r="AH30" i="90"/>
  <c r="AG30" i="90"/>
  <c r="AH25" i="90"/>
  <c r="AG25" i="90"/>
  <c r="AG42" i="90"/>
  <c r="AH42" i="90"/>
  <c r="AG14" i="90"/>
  <c r="AH14" i="90"/>
  <c r="AM7" i="90"/>
  <c r="AH12" i="90"/>
  <c r="AG12" i="90"/>
  <c r="AM61" i="90"/>
  <c r="AG32" i="90"/>
  <c r="AH32" i="90"/>
  <c r="AM20" i="90"/>
  <c r="AM31" i="90"/>
  <c r="AG21" i="90"/>
  <c r="AH21" i="90"/>
  <c r="AM44" i="90"/>
  <c r="AG38" i="90"/>
  <c r="AH38" i="90"/>
  <c r="AM29" i="90"/>
  <c r="AH61" i="90"/>
  <c r="AG61" i="90"/>
  <c r="AM46" i="90"/>
  <c r="AM39" i="90"/>
  <c r="AM32" i="90"/>
  <c r="AH20" i="90"/>
  <c r="AG20" i="90"/>
  <c r="AM33" i="90"/>
  <c r="AH8" i="90"/>
  <c r="AG8" i="90"/>
  <c r="AH48" i="90"/>
  <c r="AG48" i="90"/>
  <c r="AH31" i="90"/>
  <c r="AG31" i="90"/>
  <c r="AM36" i="90"/>
  <c r="AM21" i="90"/>
  <c r="AM9" i="90"/>
  <c r="AH41" i="90"/>
  <c r="AG41" i="90"/>
  <c r="AH34" i="90"/>
  <c r="AG34" i="90"/>
  <c r="AH40" i="90"/>
  <c r="AG40" i="90"/>
  <c r="AH18" i="90"/>
  <c r="AG18" i="90"/>
  <c r="AM11" i="90"/>
  <c r="AH49" i="90"/>
  <c r="AG49" i="90"/>
  <c r="AM47" i="90"/>
  <c r="AM24" i="90"/>
  <c r="AH45" i="90"/>
  <c r="AG45" i="90"/>
  <c r="AH13" i="90"/>
  <c r="AG13" i="90"/>
  <c r="AM12" i="90"/>
  <c r="BD8" i="90"/>
  <c r="BD7" i="90"/>
  <c r="BD9" i="90"/>
  <c r="BD10" i="90"/>
  <c r="BD12" i="90"/>
  <c r="BC13" i="90"/>
  <c r="BD11" i="90"/>
  <c r="AY63" i="89"/>
  <c r="AY46" i="89"/>
  <c r="AL54" i="89"/>
  <c r="AK54" i="89"/>
  <c r="AM54" i="89" s="1"/>
  <c r="AK57" i="89"/>
  <c r="AM57" i="89" s="1"/>
  <c r="AL57" i="89"/>
  <c r="AL51" i="89"/>
  <c r="AK51" i="89"/>
  <c r="AM51" i="89" s="1"/>
  <c r="AL63" i="89"/>
  <c r="AK63" i="89"/>
  <c r="AM63" i="89" s="1"/>
  <c r="AL56" i="89"/>
  <c r="AK56" i="89"/>
  <c r="AM56" i="89" s="1"/>
  <c r="AK50" i="89"/>
  <c r="AM50" i="89" s="1"/>
  <c r="AL50" i="89"/>
  <c r="AL60" i="89"/>
  <c r="AK60" i="89"/>
  <c r="AM60" i="89" s="1"/>
  <c r="AL59" i="89"/>
  <c r="AK59" i="89"/>
  <c r="AM59" i="89" s="1"/>
  <c r="AL65" i="89"/>
  <c r="AK65" i="89"/>
  <c r="AM65" i="89" s="1"/>
  <c r="AL58" i="89"/>
  <c r="AK58" i="89"/>
  <c r="AM58" i="89" s="1"/>
  <c r="AL64" i="89"/>
  <c r="AK64" i="89"/>
  <c r="AM64" i="89" s="1"/>
  <c r="AK53" i="89"/>
  <c r="AM53" i="89" s="1"/>
  <c r="AL53" i="89"/>
  <c r="AL67" i="89"/>
  <c r="AK67" i="89"/>
  <c r="AM67" i="89" s="1"/>
  <c r="AK62" i="89"/>
  <c r="AM62" i="89" s="1"/>
  <c r="AL62" i="89"/>
  <c r="AH8" i="89"/>
  <c r="AG8" i="89"/>
  <c r="AL52" i="89"/>
  <c r="AK52" i="89"/>
  <c r="AM52" i="89" s="1"/>
  <c r="AK55" i="89"/>
  <c r="AM55" i="89" s="1"/>
  <c r="AL55" i="89"/>
  <c r="AK66" i="89"/>
  <c r="AM66" i="89" s="1"/>
  <c r="AL66" i="89"/>
  <c r="AM8" i="89"/>
  <c r="AY52" i="89"/>
  <c r="AY22" i="89"/>
  <c r="AY23" i="89"/>
  <c r="AY58" i="89"/>
  <c r="AY18" i="89"/>
  <c r="AY19" i="89"/>
  <c r="AY8" i="89"/>
  <c r="AY37" i="89"/>
  <c r="AY56" i="89"/>
  <c r="AY33" i="89"/>
  <c r="AY14" i="89"/>
  <c r="AY54" i="89"/>
  <c r="AY31" i="89"/>
  <c r="AY26" i="89"/>
  <c r="AY51" i="89"/>
  <c r="AY40" i="89"/>
  <c r="AY35" i="89"/>
  <c r="AY32" i="89"/>
  <c r="AY12" i="89"/>
  <c r="AY27" i="89"/>
  <c r="AY9" i="89"/>
  <c r="AY16" i="89"/>
  <c r="AY53" i="89"/>
  <c r="AY21" i="89"/>
  <c r="M11" i="89"/>
  <c r="AY44" i="89"/>
  <c r="AY29" i="89"/>
  <c r="AY30" i="89"/>
  <c r="AY41" i="89"/>
  <c r="AY10" i="89"/>
  <c r="AY15" i="89"/>
  <c r="AY7" i="89"/>
  <c r="AY25" i="89"/>
  <c r="AY20" i="89"/>
  <c r="AY36" i="89"/>
  <c r="AY61" i="89"/>
  <c r="AY55" i="89"/>
  <c r="AY17" i="89"/>
  <c r="M13" i="89"/>
  <c r="Y14" i="89"/>
  <c r="AY45" i="89"/>
  <c r="AY62" i="89"/>
  <c r="AY42" i="89"/>
  <c r="AY43" i="89"/>
  <c r="AY38" i="89"/>
  <c r="M12" i="89"/>
  <c r="M8" i="89"/>
  <c r="AY13" i="89"/>
  <c r="AY24" i="89"/>
  <c r="AY48" i="89"/>
  <c r="AY57" i="89"/>
  <c r="AY47" i="89"/>
  <c r="AY49" i="89"/>
  <c r="AY59" i="89"/>
  <c r="AY39" i="89"/>
  <c r="AY34" i="89"/>
  <c r="M14" i="89"/>
  <c r="L5" i="89"/>
  <c r="C77" i="89"/>
  <c r="AY11" i="89"/>
  <c r="AY28" i="89"/>
  <c r="AY50" i="89"/>
  <c r="AY60" i="89"/>
  <c r="BC10" i="89"/>
  <c r="AW9" i="88"/>
  <c r="AX9" i="88" s="1"/>
  <c r="AW58" i="88"/>
  <c r="AX58" i="88" s="1"/>
  <c r="AW56" i="88"/>
  <c r="AW54" i="88"/>
  <c r="AX54" i="88" s="1"/>
  <c r="AW52" i="88"/>
  <c r="AX52" i="88" s="1"/>
  <c r="AW60" i="88"/>
  <c r="AW57" i="88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M11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57" i="88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F31" i="7"/>
  <c r="CF21" i="7"/>
  <c r="CF11" i="7"/>
  <c r="CF7" i="7"/>
  <c r="AJ20" i="88"/>
  <c r="AJ7" i="88"/>
  <c r="G48" i="88"/>
  <c r="G35" i="88"/>
  <c r="AJ60" i="88"/>
  <c r="AJ66" i="88"/>
  <c r="AJ31" i="88"/>
  <c r="G8" i="88"/>
  <c r="G30" i="88"/>
  <c r="AJ57" i="88"/>
  <c r="AJ62" i="88"/>
  <c r="AJ46" i="88"/>
  <c r="G9" i="88"/>
  <c r="G39" i="88"/>
  <c r="AJ63" i="88"/>
  <c r="AJ32" i="88"/>
  <c r="G47" i="88"/>
  <c r="AJ55" i="88"/>
  <c r="AJ59" i="88"/>
  <c r="AJ36" i="88"/>
  <c r="G10" i="88"/>
  <c r="G49" i="88"/>
  <c r="G28" i="88"/>
  <c r="AJ29" i="88"/>
  <c r="AJ16" i="88"/>
  <c r="AJ22" i="88"/>
  <c r="AJ53" i="88"/>
  <c r="AJ54" i="88"/>
  <c r="AJ39" i="88"/>
  <c r="G21" i="88"/>
  <c r="AJ19" i="88"/>
  <c r="AJ12" i="88"/>
  <c r="AJ10" i="88"/>
  <c r="G41" i="88"/>
  <c r="G17" i="88"/>
  <c r="AJ50" i="88"/>
  <c r="AJ41" i="88"/>
  <c r="AJ25" i="88"/>
  <c r="G12" i="88"/>
  <c r="G44" i="88"/>
  <c r="G31" i="88"/>
  <c r="AJ48" i="88"/>
  <c r="AJ37" i="88"/>
  <c r="AJ21" i="88"/>
  <c r="G13" i="88"/>
  <c r="G23" i="88"/>
  <c r="AJ43" i="88"/>
  <c r="G11" i="88"/>
  <c r="G61" i="88"/>
  <c r="G25" i="88"/>
  <c r="AJ44" i="88"/>
  <c r="AJ33" i="88"/>
  <c r="AJ17" i="88"/>
  <c r="G14" i="88"/>
  <c r="G29" i="88"/>
  <c r="AJ67" i="88"/>
  <c r="AJ35" i="88"/>
  <c r="AJ40" i="88"/>
  <c r="AJ64" i="88"/>
  <c r="AJ9" i="88"/>
  <c r="E7" i="88"/>
  <c r="G34" i="88"/>
  <c r="G19" i="88"/>
  <c r="AJ45" i="88"/>
  <c r="G15" i="88"/>
  <c r="G45" i="88"/>
  <c r="AJ56" i="88"/>
  <c r="AJ26" i="88"/>
  <c r="AJ27" i="88"/>
  <c r="G18" i="88"/>
  <c r="G32" i="88"/>
  <c r="AL11" i="88"/>
  <c r="AJ14" i="88"/>
  <c r="AJ8" i="88"/>
  <c r="G46" i="88"/>
  <c r="G26" i="88"/>
  <c r="AJ61" i="88"/>
  <c r="AJ47" i="88"/>
  <c r="AJ18" i="88"/>
  <c r="G16" i="88"/>
  <c r="E20" i="88"/>
  <c r="G37" i="88"/>
  <c r="G43" i="88"/>
  <c r="AJ49" i="88"/>
  <c r="AJ38" i="88"/>
  <c r="AJ51" i="88"/>
  <c r="AJ15" i="88"/>
  <c r="G40" i="88"/>
  <c r="AJ30" i="88"/>
  <c r="G24" i="88"/>
  <c r="E27" i="88"/>
  <c r="G33" i="88"/>
  <c r="G36" i="88"/>
  <c r="AJ65" i="88"/>
  <c r="AJ34" i="88"/>
  <c r="G38" i="88"/>
  <c r="AK11" i="88"/>
  <c r="AJ58" i="88"/>
  <c r="AJ28" i="88"/>
  <c r="G22" i="88"/>
  <c r="AJ42" i="88"/>
  <c r="AJ24" i="88"/>
  <c r="AJ13" i="88"/>
  <c r="G42" i="88"/>
  <c r="AJ23" i="88"/>
  <c r="AJ52" i="88"/>
  <c r="AK9" i="89"/>
  <c r="AL32" i="89"/>
  <c r="E46" i="89"/>
  <c r="AL39" i="89"/>
  <c r="E48" i="89"/>
  <c r="AL40" i="89"/>
  <c r="AK11" i="89"/>
  <c r="AK44" i="89"/>
  <c r="E39" i="89"/>
  <c r="AK27" i="89"/>
  <c r="E30" i="89"/>
  <c r="AK46" i="89"/>
  <c r="E37" i="89"/>
  <c r="AL37" i="89"/>
  <c r="E35" i="89"/>
  <c r="AK23" i="89"/>
  <c r="E25" i="89"/>
  <c r="AL26" i="89"/>
  <c r="AL49" i="89"/>
  <c r="AK33" i="89"/>
  <c r="E24" i="89"/>
  <c r="AK19" i="89"/>
  <c r="E31" i="89"/>
  <c r="AL22" i="89"/>
  <c r="AL45" i="89"/>
  <c r="AK26" i="89"/>
  <c r="AK49" i="89"/>
  <c r="AL33" i="89"/>
  <c r="E27" i="89"/>
  <c r="AL30" i="89"/>
  <c r="E47" i="89"/>
  <c r="AL20" i="89"/>
  <c r="E16" i="89"/>
  <c r="AK7" i="89"/>
  <c r="AL17" i="89"/>
  <c r="AL61" i="89"/>
  <c r="E14" i="89"/>
  <c r="AL47" i="89"/>
  <c r="AK32" i="89"/>
  <c r="AK39" i="89"/>
  <c r="AL42" i="89"/>
  <c r="AK15" i="89"/>
  <c r="E33" i="89"/>
  <c r="AK29" i="89"/>
  <c r="AK37" i="89"/>
  <c r="E49" i="89"/>
  <c r="E11" i="89"/>
  <c r="AL29" i="89"/>
  <c r="AK40" i="89"/>
  <c r="AL12" i="89"/>
  <c r="E32" i="89"/>
  <c r="AK31" i="89"/>
  <c r="AK28" i="89"/>
  <c r="AL16" i="89"/>
  <c r="E41" i="89"/>
  <c r="AL7" i="89"/>
  <c r="AK17" i="89"/>
  <c r="AL21" i="89"/>
  <c r="AL11" i="89"/>
  <c r="AL44" i="89"/>
  <c r="AL38" i="89"/>
  <c r="E43" i="89"/>
  <c r="AK42" i="89"/>
  <c r="AL34" i="89"/>
  <c r="AK38" i="89"/>
  <c r="E36" i="89"/>
  <c r="E10" i="89"/>
  <c r="AK43" i="89"/>
  <c r="AL27" i="89"/>
  <c r="E23" i="89"/>
  <c r="AL46" i="89"/>
  <c r="E34" i="89"/>
  <c r="AK30" i="89"/>
  <c r="AL15" i="89"/>
  <c r="AL41" i="89"/>
  <c r="E19" i="89"/>
  <c r="AL31" i="89"/>
  <c r="E8" i="89"/>
  <c r="AL28" i="89"/>
  <c r="E13" i="89"/>
  <c r="AL19" i="89"/>
  <c r="E28" i="89"/>
  <c r="AK25" i="89"/>
  <c r="AK47" i="89"/>
  <c r="AK13" i="89"/>
  <c r="AL35" i="89"/>
  <c r="AL14" i="89"/>
  <c r="E18" i="89"/>
  <c r="AK21" i="89"/>
  <c r="E21" i="89"/>
  <c r="E15" i="89"/>
  <c r="AL43" i="89"/>
  <c r="AL13" i="89"/>
  <c r="AK35" i="89"/>
  <c r="AK14" i="89"/>
  <c r="E17" i="89"/>
  <c r="AK16" i="89"/>
  <c r="E38" i="89"/>
  <c r="AK22" i="89"/>
  <c r="AK45" i="89"/>
  <c r="AK48" i="89"/>
  <c r="AK18" i="89"/>
  <c r="AL25" i="89"/>
  <c r="AL9" i="89"/>
  <c r="E44" i="89"/>
  <c r="AK10" i="89"/>
  <c r="AK41" i="89"/>
  <c r="AK24" i="89"/>
  <c r="E12" i="89"/>
  <c r="E40" i="89"/>
  <c r="AK20" i="89"/>
  <c r="AL24" i="89"/>
  <c r="E20" i="89"/>
  <c r="E45" i="89"/>
  <c r="AK34" i="89"/>
  <c r="E29" i="89"/>
  <c r="E9" i="89"/>
  <c r="AL23" i="89"/>
  <c r="E26" i="89"/>
  <c r="AL48" i="89"/>
  <c r="AK61" i="89"/>
  <c r="E22" i="89"/>
  <c r="E61" i="89"/>
  <c r="AK36" i="89"/>
  <c r="AL10" i="89"/>
  <c r="AK12" i="89"/>
  <c r="E42" i="89"/>
  <c r="AL36" i="89"/>
  <c r="AL18" i="89"/>
  <c r="E7" i="89"/>
  <c r="BG7" i="7"/>
  <c r="BG11" i="7"/>
  <c r="BG11" i="90" l="1"/>
  <c r="BH11" i="90"/>
  <c r="BF11" i="90"/>
  <c r="BI11" i="90"/>
  <c r="BC14" i="90"/>
  <c r="BD13" i="90"/>
  <c r="AA10" i="90"/>
  <c r="BG7" i="90"/>
  <c r="BH7" i="90"/>
  <c r="BF7" i="90"/>
  <c r="BI7" i="90"/>
  <c r="AA12" i="90"/>
  <c r="BG12" i="90"/>
  <c r="BI12" i="90"/>
  <c r="BH12" i="90"/>
  <c r="BF12" i="90"/>
  <c r="O14" i="90"/>
  <c r="P12" i="90" s="1"/>
  <c r="AA8" i="90"/>
  <c r="BG9" i="90"/>
  <c r="BI9" i="90"/>
  <c r="BH9" i="90"/>
  <c r="BF9" i="90"/>
  <c r="AA9" i="90"/>
  <c r="V8" i="90"/>
  <c r="U14" i="90"/>
  <c r="BG8" i="90"/>
  <c r="BF8" i="90"/>
  <c r="BI8" i="90"/>
  <c r="BH8" i="90"/>
  <c r="AA13" i="90"/>
  <c r="P11" i="90"/>
  <c r="AA11" i="90"/>
  <c r="BG10" i="90"/>
  <c r="BI10" i="90"/>
  <c r="BH10" i="90"/>
  <c r="BF10" i="90"/>
  <c r="R14" i="90"/>
  <c r="S10" i="90" s="1"/>
  <c r="S8" i="90"/>
  <c r="BD9" i="89"/>
  <c r="AM45" i="89"/>
  <c r="AM43" i="89"/>
  <c r="AM34" i="89"/>
  <c r="AH20" i="89"/>
  <c r="AG20" i="89"/>
  <c r="AM22" i="89"/>
  <c r="R16" i="89" a="1"/>
  <c r="R16" i="89" s="1"/>
  <c r="O16" i="89" a="1"/>
  <c r="O16" i="89" s="1"/>
  <c r="U16" i="89" a="1"/>
  <c r="U16" i="89" s="1"/>
  <c r="U13" i="89"/>
  <c r="V13" i="89" s="1"/>
  <c r="O12" i="89"/>
  <c r="U11" i="89"/>
  <c r="V11" i="89" s="1"/>
  <c r="O10" i="89"/>
  <c r="U9" i="89"/>
  <c r="V9" i="89" s="1"/>
  <c r="O8" i="89"/>
  <c r="R9" i="89"/>
  <c r="R13" i="89"/>
  <c r="S13" i="89" s="1"/>
  <c r="R11" i="89"/>
  <c r="O13" i="89"/>
  <c r="U12" i="89"/>
  <c r="V12" i="89" s="1"/>
  <c r="O11" i="89"/>
  <c r="U10" i="89"/>
  <c r="V10" i="89" s="1"/>
  <c r="O9" i="89"/>
  <c r="U8" i="89"/>
  <c r="R8" i="89"/>
  <c r="R12" i="89"/>
  <c r="R10" i="89"/>
  <c r="AH12" i="89"/>
  <c r="AG12" i="89"/>
  <c r="AM40" i="89"/>
  <c r="AG30" i="89"/>
  <c r="AH30" i="89"/>
  <c r="AM16" i="89"/>
  <c r="AH18" i="89"/>
  <c r="AG18" i="89"/>
  <c r="AH36" i="89"/>
  <c r="AG36" i="89"/>
  <c r="AH29" i="89"/>
  <c r="AG29" i="89"/>
  <c r="AH33" i="89"/>
  <c r="AG33" i="89"/>
  <c r="AM14" i="89"/>
  <c r="AM49" i="89"/>
  <c r="AM35" i="89"/>
  <c r="AM38" i="89"/>
  <c r="AH24" i="89"/>
  <c r="AG24" i="89"/>
  <c r="AM26" i="89"/>
  <c r="AH13" i="89"/>
  <c r="AG13" i="89"/>
  <c r="AG45" i="89"/>
  <c r="AH45" i="89"/>
  <c r="AH43" i="89"/>
  <c r="AG43" i="89"/>
  <c r="AH34" i="89"/>
  <c r="AG34" i="89"/>
  <c r="AM20" i="89"/>
  <c r="AH22" i="89"/>
  <c r="AG22" i="89"/>
  <c r="AM12" i="89"/>
  <c r="AM42" i="89"/>
  <c r="AM37" i="89"/>
  <c r="AM19" i="89"/>
  <c r="AM21" i="89"/>
  <c r="AH10" i="89"/>
  <c r="AG10" i="89"/>
  <c r="AM36" i="89"/>
  <c r="AM29" i="89"/>
  <c r="AM33" i="89"/>
  <c r="AG14" i="89"/>
  <c r="AH14" i="89"/>
  <c r="AG49" i="89"/>
  <c r="AH49" i="89"/>
  <c r="AH35" i="89"/>
  <c r="AG35" i="89"/>
  <c r="AH38" i="89"/>
  <c r="AG38" i="89"/>
  <c r="AM24" i="89"/>
  <c r="AH26" i="89"/>
  <c r="AG26" i="89"/>
  <c r="AM13" i="89"/>
  <c r="AM47" i="89"/>
  <c r="AH44" i="89"/>
  <c r="AG44" i="89"/>
  <c r="AM41" i="89"/>
  <c r="AM23" i="89"/>
  <c r="AM25" i="89"/>
  <c r="AH11" i="89"/>
  <c r="AG11" i="89"/>
  <c r="AM15" i="89"/>
  <c r="AG42" i="89"/>
  <c r="AH42" i="89"/>
  <c r="AG37" i="89"/>
  <c r="AH37" i="89"/>
  <c r="AH19" i="89"/>
  <c r="AG19" i="89"/>
  <c r="AG21" i="89"/>
  <c r="AH21" i="89"/>
  <c r="AM10" i="89"/>
  <c r="AM61" i="89"/>
  <c r="AM39" i="89"/>
  <c r="AM46" i="89"/>
  <c r="AH28" i="89"/>
  <c r="AG28" i="89"/>
  <c r="AM17" i="89"/>
  <c r="AH48" i="89"/>
  <c r="AG48" i="89"/>
  <c r="AM32" i="89"/>
  <c r="AM27" i="89"/>
  <c r="AH31" i="89"/>
  <c r="AG31" i="89"/>
  <c r="AH7" i="89"/>
  <c r="AG7" i="89"/>
  <c r="AH9" i="89"/>
  <c r="AG9" i="89"/>
  <c r="AH47" i="89"/>
  <c r="AG47" i="89"/>
  <c r="AM44" i="89"/>
  <c r="AG41" i="89"/>
  <c r="AH41" i="89"/>
  <c r="AH23" i="89"/>
  <c r="AG23" i="89"/>
  <c r="AG25" i="89"/>
  <c r="AH25" i="89"/>
  <c r="AM11" i="89"/>
  <c r="AH15" i="89"/>
  <c r="AG15" i="89"/>
  <c r="AH40" i="89"/>
  <c r="AG40" i="89"/>
  <c r="AM30" i="89"/>
  <c r="AH16" i="89"/>
  <c r="AG16" i="89"/>
  <c r="AM18" i="89"/>
  <c r="AH61" i="89"/>
  <c r="AG61" i="89"/>
  <c r="AH39" i="89"/>
  <c r="AG39" i="89"/>
  <c r="AH46" i="89"/>
  <c r="AG46" i="89"/>
  <c r="AM28" i="89"/>
  <c r="AG17" i="89"/>
  <c r="AH17" i="89"/>
  <c r="AM48" i="89"/>
  <c r="AG32" i="89"/>
  <c r="AH32" i="89"/>
  <c r="AH27" i="89"/>
  <c r="AG27" i="89"/>
  <c r="AM31" i="89"/>
  <c r="AM7" i="89"/>
  <c r="AM9" i="89"/>
  <c r="BD10" i="89"/>
  <c r="BC11" i="89"/>
  <c r="BD7" i="89"/>
  <c r="BD8" i="89"/>
  <c r="BG9" i="89"/>
  <c r="BI9" i="89"/>
  <c r="BF9" i="89"/>
  <c r="BH9" i="89"/>
  <c r="C77" i="88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AL8" i="88"/>
  <c r="AL9" i="88"/>
  <c r="AL12" i="88"/>
  <c r="AL20" i="88"/>
  <c r="E32" i="88"/>
  <c r="AL34" i="88"/>
  <c r="AK30" i="88"/>
  <c r="AK46" i="88"/>
  <c r="E15" i="88"/>
  <c r="AL41" i="88"/>
  <c r="E14" i="88"/>
  <c r="E61" i="88"/>
  <c r="AK49" i="88"/>
  <c r="AL61" i="88"/>
  <c r="AL16" i="88"/>
  <c r="AL33" i="88"/>
  <c r="AL13" i="88"/>
  <c r="AK15" i="88"/>
  <c r="AL37" i="88"/>
  <c r="E16" i="88"/>
  <c r="AK41" i="88"/>
  <c r="E25" i="88"/>
  <c r="AL46" i="88"/>
  <c r="E35" i="88"/>
  <c r="E29" i="88"/>
  <c r="AK39" i="88"/>
  <c r="E33" i="88"/>
  <c r="E39" i="88"/>
  <c r="AK42" i="88"/>
  <c r="E37" i="88"/>
  <c r="AL47" i="88"/>
  <c r="AK22" i="88"/>
  <c r="AK29" i="88"/>
  <c r="AK40" i="88"/>
  <c r="AK13" i="88"/>
  <c r="AK24" i="88"/>
  <c r="AL49" i="88"/>
  <c r="AL25" i="88"/>
  <c r="AL36" i="88"/>
  <c r="AK27" i="88"/>
  <c r="AL35" i="88"/>
  <c r="E18" i="88"/>
  <c r="E22" i="88"/>
  <c r="AL24" i="88"/>
  <c r="E8" i="88"/>
  <c r="AK44" i="88"/>
  <c r="AL26" i="88"/>
  <c r="AK18" i="88"/>
  <c r="AK14" i="88"/>
  <c r="AK7" i="88"/>
  <c r="AL32" i="88"/>
  <c r="E30" i="88"/>
  <c r="E49" i="88"/>
  <c r="AK38" i="88"/>
  <c r="E38" i="88"/>
  <c r="E23" i="88"/>
  <c r="E45" i="88"/>
  <c r="E13" i="88"/>
  <c r="AK8" i="88"/>
  <c r="AK9" i="88"/>
  <c r="AK12" i="88"/>
  <c r="AK20" i="88"/>
  <c r="AL22" i="88"/>
  <c r="E10" i="88"/>
  <c r="E47" i="88"/>
  <c r="E40" i="88"/>
  <c r="AL38" i="88"/>
  <c r="AL28" i="88"/>
  <c r="E19" i="88"/>
  <c r="AL40" i="88"/>
  <c r="E11" i="88"/>
  <c r="E44" i="88"/>
  <c r="AL19" i="88"/>
  <c r="AL23" i="88"/>
  <c r="AL44" i="88"/>
  <c r="AK32" i="88"/>
  <c r="AK26" i="88"/>
  <c r="AL48" i="88"/>
  <c r="AK28" i="88"/>
  <c r="E26" i="88"/>
  <c r="AK43" i="88"/>
  <c r="E31" i="88"/>
  <c r="E48" i="88"/>
  <c r="AK16" i="88"/>
  <c r="AK33" i="88"/>
  <c r="E24" i="88"/>
  <c r="AL15" i="88"/>
  <c r="AK37" i="88"/>
  <c r="E12" i="88"/>
  <c r="AK61" i="88"/>
  <c r="AL29" i="88"/>
  <c r="AL14" i="88"/>
  <c r="AK10" i="88"/>
  <c r="AL7" i="88"/>
  <c r="E34" i="88"/>
  <c r="AL18" i="88"/>
  <c r="AL17" i="88"/>
  <c r="AL30" i="88"/>
  <c r="AL21" i="88"/>
  <c r="AK25" i="88"/>
  <c r="E46" i="88"/>
  <c r="AK19" i="88"/>
  <c r="AK23" i="88"/>
  <c r="AL27" i="88"/>
  <c r="AK48" i="88"/>
  <c r="E17" i="88"/>
  <c r="AL10" i="88"/>
  <c r="E21" i="88"/>
  <c r="AK36" i="88"/>
  <c r="E9" i="88"/>
  <c r="AK45" i="88"/>
  <c r="AK34" i="88"/>
  <c r="AK47" i="88"/>
  <c r="AL39" i="88"/>
  <c r="E42" i="88"/>
  <c r="AL42" i="88"/>
  <c r="AL45" i="88"/>
  <c r="E28" i="88"/>
  <c r="AK31" i="88"/>
  <c r="AK35" i="88"/>
  <c r="AK17" i="88"/>
  <c r="E36" i="88"/>
  <c r="AL43" i="88"/>
  <c r="AK21" i="88"/>
  <c r="E43" i="88"/>
  <c r="AL31" i="88"/>
  <c r="E41" i="88"/>
  <c r="P10" i="90" l="1"/>
  <c r="P13" i="90"/>
  <c r="P9" i="90"/>
  <c r="S11" i="90"/>
  <c r="BG13" i="90"/>
  <c r="BI13" i="90"/>
  <c r="BH13" i="90"/>
  <c r="BF13" i="90"/>
  <c r="S12" i="90"/>
  <c r="P14" i="90"/>
  <c r="O5" i="90"/>
  <c r="BD14" i="90"/>
  <c r="BC15" i="90"/>
  <c r="V14" i="90"/>
  <c r="U5" i="90"/>
  <c r="AA14" i="90"/>
  <c r="S14" i="90"/>
  <c r="R5" i="90"/>
  <c r="P8" i="90"/>
  <c r="S9" i="90"/>
  <c r="V8" i="89"/>
  <c r="U14" i="89"/>
  <c r="BG7" i="89"/>
  <c r="BI7" i="89"/>
  <c r="BF7" i="89"/>
  <c r="BH7" i="89"/>
  <c r="BD11" i="89"/>
  <c r="BC12" i="89"/>
  <c r="BG10" i="89"/>
  <c r="BI10" i="89"/>
  <c r="BH10" i="89"/>
  <c r="BF10" i="89"/>
  <c r="AA9" i="89"/>
  <c r="AA12" i="89"/>
  <c r="AA13" i="89"/>
  <c r="O14" i="89"/>
  <c r="P13" i="89" s="1"/>
  <c r="AA8" i="89"/>
  <c r="BG8" i="89"/>
  <c r="BI8" i="89"/>
  <c r="BH8" i="89"/>
  <c r="BF8" i="89"/>
  <c r="R14" i="89"/>
  <c r="S12" i="89" s="1"/>
  <c r="AA11" i="89"/>
  <c r="AA10" i="89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G9" i="88"/>
  <c r="BF9" i="88"/>
  <c r="BI9" i="88"/>
  <c r="BH9" i="88"/>
  <c r="BC11" i="88"/>
  <c r="BD10" i="88"/>
  <c r="BD7" i="88"/>
  <c r="BD8" i="88"/>
  <c r="BF14" i="90" l="1"/>
  <c r="BI14" i="90"/>
  <c r="BH14" i="90"/>
  <c r="BG14" i="90"/>
  <c r="BC16" i="90"/>
  <c r="BD15" i="90"/>
  <c r="P11" i="89"/>
  <c r="P8" i="89"/>
  <c r="P10" i="89"/>
  <c r="S11" i="89"/>
  <c r="P12" i="89"/>
  <c r="BG11" i="89"/>
  <c r="BI11" i="89"/>
  <c r="BF11" i="89"/>
  <c r="BH11" i="89"/>
  <c r="S14" i="89"/>
  <c r="R5" i="89"/>
  <c r="AA14" i="89"/>
  <c r="S9" i="89"/>
  <c r="S8" i="89"/>
  <c r="P14" i="89"/>
  <c r="O5" i="89"/>
  <c r="S10" i="89"/>
  <c r="P9" i="89"/>
  <c r="V14" i="89"/>
  <c r="U5" i="89"/>
  <c r="BD12" i="89"/>
  <c r="BC13" i="89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P9" i="88"/>
  <c r="AA9" i="88"/>
  <c r="BG8" i="88"/>
  <c r="BF8" i="88"/>
  <c r="BI8" i="88"/>
  <c r="BH8" i="88"/>
  <c r="W12" i="10"/>
  <c r="W11" i="10"/>
  <c r="V14" i="9"/>
  <c r="V13" i="9"/>
  <c r="V12" i="9"/>
  <c r="V11" i="9"/>
  <c r="W14" i="10" l="1"/>
  <c r="W13" i="10" s="1"/>
  <c r="BG15" i="90"/>
  <c r="BF15" i="90"/>
  <c r="BI15" i="90"/>
  <c r="BH15" i="90"/>
  <c r="BD16" i="90"/>
  <c r="BC17" i="90"/>
  <c r="BC14" i="89"/>
  <c r="BD13" i="89"/>
  <c r="BG12" i="89"/>
  <c r="BI12" i="89"/>
  <c r="BH12" i="89"/>
  <c r="BF12" i="89"/>
  <c r="S14" i="88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AJ8" i="87"/>
  <c r="E6" i="87"/>
  <c r="AJ11" i="87"/>
  <c r="AJ12" i="87"/>
  <c r="BD17" i="90" l="1"/>
  <c r="BC18" i="90"/>
  <c r="BI16" i="90"/>
  <c r="BH16" i="90"/>
  <c r="BG16" i="90"/>
  <c r="BF16" i="90"/>
  <c r="BG13" i="89"/>
  <c r="BI13" i="89"/>
  <c r="BF13" i="89"/>
  <c r="BH13" i="89"/>
  <c r="BC15" i="89"/>
  <c r="BD14" i="89"/>
  <c r="BH12" i="88"/>
  <c r="BG12" i="88"/>
  <c r="BI12" i="88"/>
  <c r="BF12" i="88"/>
  <c r="BC14" i="88"/>
  <c r="BD13" i="88"/>
  <c r="CG61" i="5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X59" i="87" s="1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X25" i="87" s="1"/>
  <c r="AW36" i="87"/>
  <c r="AX36" i="87" s="1"/>
  <c r="AW29" i="87"/>
  <c r="AW22" i="87"/>
  <c r="AX22" i="87" s="1"/>
  <c r="AW18" i="87"/>
  <c r="AX18" i="87" s="1"/>
  <c r="AW15" i="87"/>
  <c r="AX15" i="87" s="1"/>
  <c r="AX7" i="87"/>
  <c r="AW16" i="87"/>
  <c r="AX16" i="87" s="1"/>
  <c r="AW9" i="87"/>
  <c r="AX9" i="87" s="1"/>
  <c r="AW11" i="87"/>
  <c r="AX11" i="87" s="1"/>
  <c r="L14" i="87"/>
  <c r="M13" i="87" s="1"/>
  <c r="AW8" i="87"/>
  <c r="AX8" i="87" s="1"/>
  <c r="BC9" i="87"/>
  <c r="AW10" i="87"/>
  <c r="AX10" i="87" s="1"/>
  <c r="AW12" i="87"/>
  <c r="AW13" i="87"/>
  <c r="AX13" i="87" s="1"/>
  <c r="AX12" i="87"/>
  <c r="AW14" i="87"/>
  <c r="AX14" i="87" s="1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W30" i="87"/>
  <c r="AX30" i="87" s="1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J10" i="87"/>
  <c r="G45" i="87"/>
  <c r="G35" i="87"/>
  <c r="G13" i="87"/>
  <c r="AJ57" i="87"/>
  <c r="AJ39" i="87"/>
  <c r="AJ38" i="87"/>
  <c r="AJ16" i="87"/>
  <c r="AJ58" i="87"/>
  <c r="AJ28" i="87"/>
  <c r="G40" i="87"/>
  <c r="G37" i="87"/>
  <c r="G8" i="87"/>
  <c r="AJ56" i="87"/>
  <c r="AJ33" i="87"/>
  <c r="AJ14" i="87"/>
  <c r="AK12" i="87"/>
  <c r="G25" i="87"/>
  <c r="G24" i="87"/>
  <c r="AL8" i="87"/>
  <c r="G43" i="87"/>
  <c r="G18" i="87"/>
  <c r="G21" i="87"/>
  <c r="AJ45" i="87"/>
  <c r="AJ36" i="87"/>
  <c r="AJ22" i="87"/>
  <c r="AJ53" i="87"/>
  <c r="AJ31" i="87"/>
  <c r="G15" i="87"/>
  <c r="AJ63" i="87"/>
  <c r="AJ37" i="87"/>
  <c r="AJ67" i="87"/>
  <c r="G20" i="87"/>
  <c r="AJ55" i="87"/>
  <c r="AJ35" i="87"/>
  <c r="G47" i="87"/>
  <c r="G11" i="87"/>
  <c r="G41" i="87"/>
  <c r="G14" i="87"/>
  <c r="AJ51" i="87"/>
  <c r="AJ20" i="87"/>
  <c r="AJ17" i="87"/>
  <c r="G34" i="87"/>
  <c r="G19" i="87"/>
  <c r="AJ43" i="87"/>
  <c r="AJ41" i="87"/>
  <c r="AJ49" i="87"/>
  <c r="AJ24" i="87"/>
  <c r="G31" i="87"/>
  <c r="G12" i="87"/>
  <c r="AJ44" i="87"/>
  <c r="AK8" i="87"/>
  <c r="G22" i="87"/>
  <c r="G44" i="87"/>
  <c r="G10" i="87"/>
  <c r="AJ50" i="87"/>
  <c r="AJ27" i="87"/>
  <c r="AJ29" i="87"/>
  <c r="G39" i="87"/>
  <c r="G46" i="87"/>
  <c r="G9" i="87"/>
  <c r="AJ64" i="87"/>
  <c r="AJ47" i="87"/>
  <c r="AJ54" i="87"/>
  <c r="AJ9" i="87"/>
  <c r="AJ40" i="87"/>
  <c r="AL11" i="87"/>
  <c r="G29" i="87"/>
  <c r="G32" i="87"/>
  <c r="AJ62" i="87"/>
  <c r="AJ42" i="87"/>
  <c r="AJ34" i="87"/>
  <c r="AJ19" i="87"/>
  <c r="G61" i="87"/>
  <c r="G26" i="87"/>
  <c r="G16" i="87"/>
  <c r="AL12" i="87"/>
  <c r="G38" i="87"/>
  <c r="G23" i="87"/>
  <c r="AJ7" i="87"/>
  <c r="AJ46" i="87"/>
  <c r="AJ25" i="87"/>
  <c r="AJ13" i="87"/>
  <c r="AJ48" i="87"/>
  <c r="AJ15" i="87"/>
  <c r="AK11" i="87"/>
  <c r="G33" i="87"/>
  <c r="G17" i="87"/>
  <c r="AJ18" i="87"/>
  <c r="AJ30" i="87"/>
  <c r="G30" i="87"/>
  <c r="AJ65" i="87"/>
  <c r="AJ21" i="87"/>
  <c r="G27" i="87"/>
  <c r="G49" i="87"/>
  <c r="AJ60" i="87"/>
  <c r="AJ26" i="87"/>
  <c r="AJ59" i="87"/>
  <c r="AJ66" i="87"/>
  <c r="AJ23" i="87"/>
  <c r="G42" i="87"/>
  <c r="AJ61" i="87"/>
  <c r="AJ32" i="87"/>
  <c r="G36" i="87"/>
  <c r="G28" i="87"/>
  <c r="G48" i="87"/>
  <c r="AJ52" i="87"/>
  <c r="G7" i="87"/>
  <c r="BC19" i="90" l="1"/>
  <c r="BD18" i="90"/>
  <c r="BF17" i="90"/>
  <c r="BI17" i="90"/>
  <c r="BH17" i="90"/>
  <c r="BG17" i="90"/>
  <c r="BF14" i="89"/>
  <c r="BI14" i="89"/>
  <c r="BH14" i="89"/>
  <c r="BG14" i="89"/>
  <c r="BC16" i="89"/>
  <c r="BD15" i="89"/>
  <c r="CG63" i="5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L10" i="87"/>
  <c r="AL17" i="87"/>
  <c r="AL26" i="87"/>
  <c r="E48" i="87"/>
  <c r="E61" i="87"/>
  <c r="AK33" i="87"/>
  <c r="AK24" i="87"/>
  <c r="AK23" i="87"/>
  <c r="E19" i="87"/>
  <c r="AK26" i="87"/>
  <c r="E8" i="87"/>
  <c r="E13" i="87"/>
  <c r="AL27" i="87"/>
  <c r="E14" i="87"/>
  <c r="E25" i="87"/>
  <c r="AL44" i="87"/>
  <c r="E30" i="87"/>
  <c r="AL18" i="87"/>
  <c r="E17" i="87"/>
  <c r="AL45" i="87"/>
  <c r="AL35" i="87"/>
  <c r="AL23" i="87"/>
  <c r="AL29" i="87"/>
  <c r="AK27" i="87"/>
  <c r="E23" i="87"/>
  <c r="E36" i="87"/>
  <c r="AK44" i="87"/>
  <c r="E29" i="87"/>
  <c r="AK18" i="87"/>
  <c r="E9" i="87"/>
  <c r="AL22" i="87"/>
  <c r="AL33" i="87"/>
  <c r="AK22" i="87"/>
  <c r="E26" i="87"/>
  <c r="AL9" i="87"/>
  <c r="AL20" i="87"/>
  <c r="AK13" i="87"/>
  <c r="AK34" i="87"/>
  <c r="E20" i="87"/>
  <c r="AL21" i="87"/>
  <c r="AL13" i="87"/>
  <c r="AL34" i="87"/>
  <c r="AK16" i="87"/>
  <c r="AK29" i="87"/>
  <c r="AK10" i="87"/>
  <c r="AL31" i="87"/>
  <c r="AK36" i="87"/>
  <c r="E44" i="87"/>
  <c r="AK21" i="87"/>
  <c r="E12" i="87"/>
  <c r="AL40" i="87"/>
  <c r="AK41" i="87"/>
  <c r="E34" i="87"/>
  <c r="E43" i="87"/>
  <c r="AK9" i="87"/>
  <c r="AK17" i="87"/>
  <c r="AL25" i="87"/>
  <c r="E41" i="87"/>
  <c r="AK19" i="87"/>
  <c r="AL42" i="87"/>
  <c r="AL28" i="87"/>
  <c r="AL38" i="87"/>
  <c r="E15" i="87"/>
  <c r="E18" i="87"/>
  <c r="E37" i="87"/>
  <c r="AL47" i="87"/>
  <c r="AL48" i="87"/>
  <c r="AK25" i="87"/>
  <c r="E38" i="87"/>
  <c r="AL19" i="87"/>
  <c r="AK42" i="87"/>
  <c r="AK28" i="87"/>
  <c r="AK38" i="87"/>
  <c r="E46" i="87"/>
  <c r="AL36" i="87"/>
  <c r="E40" i="87"/>
  <c r="E10" i="87"/>
  <c r="E42" i="87"/>
  <c r="AL43" i="87"/>
  <c r="E24" i="87"/>
  <c r="AL39" i="87"/>
  <c r="AK40" i="87"/>
  <c r="AL7" i="87"/>
  <c r="E32" i="87"/>
  <c r="E47" i="87"/>
  <c r="AK20" i="87"/>
  <c r="AK45" i="87"/>
  <c r="E16" i="87"/>
  <c r="AK14" i="87"/>
  <c r="E31" i="87"/>
  <c r="AK49" i="87"/>
  <c r="AK47" i="87"/>
  <c r="AK48" i="87"/>
  <c r="E27" i="87"/>
  <c r="AL41" i="87"/>
  <c r="AK31" i="87"/>
  <c r="AK46" i="87"/>
  <c r="E49" i="87"/>
  <c r="AL32" i="87"/>
  <c r="AK61" i="87"/>
  <c r="AK30" i="87"/>
  <c r="AK37" i="87"/>
  <c r="E33" i="87"/>
  <c r="E11" i="87"/>
  <c r="AL24" i="87"/>
  <c r="E45" i="87"/>
  <c r="E7" i="87"/>
  <c r="AL46" i="87"/>
  <c r="E28" i="87"/>
  <c r="AK32" i="87"/>
  <c r="AL61" i="87"/>
  <c r="AL30" i="87"/>
  <c r="AL37" i="87"/>
  <c r="E39" i="87"/>
  <c r="E21" i="87"/>
  <c r="AL49" i="87"/>
  <c r="AK35" i="87"/>
  <c r="AK43" i="87"/>
  <c r="AL14" i="87"/>
  <c r="AK7" i="87"/>
  <c r="AL16" i="87"/>
  <c r="AL15" i="87"/>
  <c r="AK15" i="87"/>
  <c r="E22" i="87"/>
  <c r="AK39" i="87"/>
  <c r="E35" i="87"/>
  <c r="BG18" i="90" l="1"/>
  <c r="BF18" i="90"/>
  <c r="BI18" i="90"/>
  <c r="BH18" i="90"/>
  <c r="BC20" i="90"/>
  <c r="BD19" i="90"/>
  <c r="AM10" i="87"/>
  <c r="AG10" i="87"/>
  <c r="AH10" i="87"/>
  <c r="BH15" i="89"/>
  <c r="BG15" i="89"/>
  <c r="BF15" i="89"/>
  <c r="BI15" i="89"/>
  <c r="BD16" i="89"/>
  <c r="BC17" i="89"/>
  <c r="BG14" i="88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H19" i="90" l="1"/>
  <c r="BG19" i="90"/>
  <c r="BF19" i="90"/>
  <c r="BI19" i="90"/>
  <c r="BD20" i="90"/>
  <c r="BC21" i="90"/>
  <c r="BD17" i="89"/>
  <c r="BC18" i="89"/>
  <c r="BI16" i="89"/>
  <c r="BH16" i="89"/>
  <c r="BG16" i="89"/>
  <c r="BF16" i="89"/>
  <c r="BC17" i="88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S9" i="87"/>
  <c r="BD11" i="87"/>
  <c r="BC12" i="87"/>
  <c r="BI10" i="87"/>
  <c r="BG10" i="87"/>
  <c r="BH10" i="87"/>
  <c r="BF10" i="87"/>
  <c r="S10" i="87"/>
  <c r="BD21" i="90" l="1"/>
  <c r="BC22" i="90"/>
  <c r="BI20" i="90"/>
  <c r="BH20" i="90"/>
  <c r="BG20" i="90"/>
  <c r="BF20" i="90"/>
  <c r="BC19" i="89"/>
  <c r="BD18" i="89"/>
  <c r="BF17" i="89"/>
  <c r="BI17" i="89"/>
  <c r="BH17" i="89"/>
  <c r="BG17" i="89"/>
  <c r="BG16" i="88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C23" i="90" l="1"/>
  <c r="BD22" i="90"/>
  <c r="BF21" i="90"/>
  <c r="BI21" i="90"/>
  <c r="BH21" i="90"/>
  <c r="BG21" i="90"/>
  <c r="BG18" i="89"/>
  <c r="BF18" i="89"/>
  <c r="BI18" i="89"/>
  <c r="BH18" i="89"/>
  <c r="BC20" i="89"/>
  <c r="BD19" i="89"/>
  <c r="BH17" i="88"/>
  <c r="BG17" i="88"/>
  <c r="BF17" i="88"/>
  <c r="BI17" i="88"/>
  <c r="BD18" i="88"/>
  <c r="BC19" i="88"/>
  <c r="BC14" i="87"/>
  <c r="BD13" i="87"/>
  <c r="BI12" i="87"/>
  <c r="BG12" i="87"/>
  <c r="BH12" i="87"/>
  <c r="BF12" i="87"/>
  <c r="BH22" i="90" l="1"/>
  <c r="BG22" i="90"/>
  <c r="BF22" i="90"/>
  <c r="BI22" i="90"/>
  <c r="BD23" i="90"/>
  <c r="BC24" i="90"/>
  <c r="BH19" i="89"/>
  <c r="BG19" i="89"/>
  <c r="BF19" i="89"/>
  <c r="BI19" i="89"/>
  <c r="BD20" i="89"/>
  <c r="BC21" i="89"/>
  <c r="BD19" i="88"/>
  <c r="BC20" i="88"/>
  <c r="BI18" i="88"/>
  <c r="BH18" i="88"/>
  <c r="BG18" i="88"/>
  <c r="BF18" i="88"/>
  <c r="BI13" i="87"/>
  <c r="BH13" i="87"/>
  <c r="BG13" i="87"/>
  <c r="BF13" i="87"/>
  <c r="BC15" i="87"/>
  <c r="BD14" i="87"/>
  <c r="BD24" i="90" l="1"/>
  <c r="BC25" i="90"/>
  <c r="BI23" i="90"/>
  <c r="BH23" i="90"/>
  <c r="BG23" i="90"/>
  <c r="BF23" i="90"/>
  <c r="BD21" i="89"/>
  <c r="BC22" i="89"/>
  <c r="BI20" i="89"/>
  <c r="BH20" i="89"/>
  <c r="BG20" i="89"/>
  <c r="BF20" i="89"/>
  <c r="BC21" i="88"/>
  <c r="BD20" i="88"/>
  <c r="BF19" i="88"/>
  <c r="BI19" i="88"/>
  <c r="BH19" i="88"/>
  <c r="BG19" i="88"/>
  <c r="BH14" i="87"/>
  <c r="BG14" i="87"/>
  <c r="BF14" i="87"/>
  <c r="BI14" i="87"/>
  <c r="BD15" i="87"/>
  <c r="BC16" i="87"/>
  <c r="BC26" i="90" l="1"/>
  <c r="BD25" i="90"/>
  <c r="BF24" i="90"/>
  <c r="BI24" i="90"/>
  <c r="BG24" i="90"/>
  <c r="BH24" i="90"/>
  <c r="BC23" i="89"/>
  <c r="BD22" i="89"/>
  <c r="BF21" i="89"/>
  <c r="BI21" i="89"/>
  <c r="BH21" i="89"/>
  <c r="BG21" i="89"/>
  <c r="BG20" i="88"/>
  <c r="BF20" i="88"/>
  <c r="BI20" i="88"/>
  <c r="BH20" i="88"/>
  <c r="BC22" i="88"/>
  <c r="BD21" i="88"/>
  <c r="BD16" i="87"/>
  <c r="BC17" i="87"/>
  <c r="BI15" i="87"/>
  <c r="BH15" i="87"/>
  <c r="BG15" i="87"/>
  <c r="BF15" i="87"/>
  <c r="BG25" i="90" l="1"/>
  <c r="BF25" i="90"/>
  <c r="BI25" i="90"/>
  <c r="BH25" i="90"/>
  <c r="BC27" i="90"/>
  <c r="BD26" i="90"/>
  <c r="BG22" i="89"/>
  <c r="BF22" i="89"/>
  <c r="BI22" i="89"/>
  <c r="BH22" i="89"/>
  <c r="BC24" i="89"/>
  <c r="BD23" i="89"/>
  <c r="BH21" i="88"/>
  <c r="BG21" i="88"/>
  <c r="BF21" i="88"/>
  <c r="BI21" i="88"/>
  <c r="BD22" i="88"/>
  <c r="BC23" i="88"/>
  <c r="BC18" i="87"/>
  <c r="BD17" i="87"/>
  <c r="BF16" i="87"/>
  <c r="BI16" i="87"/>
  <c r="BH16" i="87"/>
  <c r="BG16" i="87"/>
  <c r="BH26" i="90" l="1"/>
  <c r="BG26" i="90"/>
  <c r="BF26" i="90"/>
  <c r="BI26" i="90"/>
  <c r="BD27" i="90"/>
  <c r="BC28" i="90"/>
  <c r="BD24" i="89"/>
  <c r="BC25" i="89"/>
  <c r="BH23" i="89"/>
  <c r="BG23" i="89"/>
  <c r="BF23" i="89"/>
  <c r="BI23" i="89"/>
  <c r="BD23" i="88"/>
  <c r="BC24" i="88"/>
  <c r="BI22" i="88"/>
  <c r="BH22" i="88"/>
  <c r="BG22" i="88"/>
  <c r="BF22" i="88"/>
  <c r="BG17" i="87"/>
  <c r="BF17" i="87"/>
  <c r="BI17" i="87"/>
  <c r="BH17" i="87"/>
  <c r="BC19" i="87"/>
  <c r="BD18" i="87"/>
  <c r="BD28" i="90" l="1"/>
  <c r="BC29" i="90"/>
  <c r="BI27" i="90"/>
  <c r="BH27" i="90"/>
  <c r="BG27" i="90"/>
  <c r="BF27" i="90"/>
  <c r="BD25" i="89"/>
  <c r="BC26" i="89"/>
  <c r="BI24" i="89"/>
  <c r="BH24" i="89"/>
  <c r="BG24" i="89"/>
  <c r="BF24" i="89"/>
  <c r="BC25" i="88"/>
  <c r="BD24" i="88"/>
  <c r="BF23" i="88"/>
  <c r="BI23" i="88"/>
  <c r="BH23" i="88"/>
  <c r="BG23" i="88"/>
  <c r="BH18" i="87"/>
  <c r="BG18" i="87"/>
  <c r="BF18" i="87"/>
  <c r="BI18" i="87"/>
  <c r="BD19" i="87"/>
  <c r="BC20" i="87"/>
  <c r="BC30" i="90" l="1"/>
  <c r="BD29" i="90"/>
  <c r="BF28" i="90"/>
  <c r="BI28" i="90"/>
  <c r="BH28" i="90"/>
  <c r="BG28" i="90"/>
  <c r="BC27" i="89"/>
  <c r="BD26" i="89"/>
  <c r="BF25" i="89"/>
  <c r="BI25" i="89"/>
  <c r="BH25" i="89"/>
  <c r="BG25" i="89"/>
  <c r="BG24" i="88"/>
  <c r="BF24" i="88"/>
  <c r="BI24" i="88"/>
  <c r="BH24" i="88"/>
  <c r="BC26" i="88"/>
  <c r="BD25" i="88"/>
  <c r="BD20" i="87"/>
  <c r="BC21" i="87"/>
  <c r="BI19" i="87"/>
  <c r="BH19" i="87"/>
  <c r="BG19" i="87"/>
  <c r="BF19" i="87"/>
  <c r="BG29" i="90" l="1"/>
  <c r="BF29" i="90"/>
  <c r="BI29" i="90"/>
  <c r="BH29" i="90"/>
  <c r="BC31" i="90"/>
  <c r="BD30" i="90"/>
  <c r="BG26" i="89"/>
  <c r="BF26" i="89"/>
  <c r="BI26" i="89"/>
  <c r="BH26" i="89"/>
  <c r="BC28" i="89"/>
  <c r="BD27" i="89"/>
  <c r="BH25" i="88"/>
  <c r="BG25" i="88"/>
  <c r="BF25" i="88"/>
  <c r="BI25" i="88"/>
  <c r="BD26" i="88"/>
  <c r="BC27" i="88"/>
  <c r="BC22" i="87"/>
  <c r="BD21" i="87"/>
  <c r="BF20" i="87"/>
  <c r="BI20" i="87"/>
  <c r="BH20" i="87"/>
  <c r="BG20" i="87"/>
  <c r="BH30" i="90" l="1"/>
  <c r="BG30" i="90"/>
  <c r="BF30" i="90"/>
  <c r="BI30" i="90"/>
  <c r="BD31" i="90"/>
  <c r="BC32" i="90"/>
  <c r="BH27" i="89"/>
  <c r="BG27" i="89"/>
  <c r="BF27" i="89"/>
  <c r="BI27" i="89"/>
  <c r="BD28" i="89"/>
  <c r="BC29" i="89"/>
  <c r="BC28" i="88"/>
  <c r="BD27" i="88"/>
  <c r="BI26" i="88"/>
  <c r="BH26" i="88"/>
  <c r="BG26" i="88"/>
  <c r="BF26" i="88"/>
  <c r="BG21" i="87"/>
  <c r="BF21" i="87"/>
  <c r="BI21" i="87"/>
  <c r="BH21" i="87"/>
  <c r="BC23" i="87"/>
  <c r="BD22" i="87"/>
  <c r="BD32" i="90" l="1"/>
  <c r="BC33" i="90"/>
  <c r="BI31" i="90"/>
  <c r="BH31" i="90"/>
  <c r="BG31" i="90"/>
  <c r="BF31" i="90"/>
  <c r="BD29" i="89"/>
  <c r="BC30" i="89"/>
  <c r="BH28" i="89"/>
  <c r="BI28" i="89"/>
  <c r="BG28" i="89"/>
  <c r="BF28" i="89"/>
  <c r="BF27" i="88"/>
  <c r="BG27" i="88"/>
  <c r="BI27" i="88"/>
  <c r="BH27" i="88"/>
  <c r="BC29" i="88"/>
  <c r="BD28" i="88"/>
  <c r="BH22" i="87"/>
  <c r="BG22" i="87"/>
  <c r="BF22" i="87"/>
  <c r="BI22" i="87"/>
  <c r="BC24" i="87"/>
  <c r="BD23" i="87"/>
  <c r="BC34" i="90" l="1"/>
  <c r="BD33" i="90"/>
  <c r="BF32" i="90"/>
  <c r="BI32" i="90"/>
  <c r="BH32" i="90"/>
  <c r="BG32" i="90"/>
  <c r="BC31" i="89"/>
  <c r="BD30" i="89"/>
  <c r="BI29" i="89"/>
  <c r="BG29" i="89"/>
  <c r="BH29" i="89"/>
  <c r="BF29" i="89"/>
  <c r="BG28" i="88"/>
  <c r="BI28" i="88"/>
  <c r="BH28" i="88"/>
  <c r="BF28" i="88"/>
  <c r="BC30" i="88"/>
  <c r="BD29" i="88"/>
  <c r="BF23" i="87"/>
  <c r="BI23" i="87"/>
  <c r="BH23" i="87"/>
  <c r="BG23" i="87"/>
  <c r="BC25" i="87"/>
  <c r="BD24" i="87"/>
  <c r="BG33" i="90" l="1"/>
  <c r="BF33" i="90"/>
  <c r="BI33" i="90"/>
  <c r="BH33" i="90"/>
  <c r="BD34" i="90"/>
  <c r="BC35" i="90"/>
  <c r="BF30" i="89"/>
  <c r="BH30" i="89"/>
  <c r="BI30" i="89"/>
  <c r="BG30" i="89"/>
  <c r="BC32" i="89"/>
  <c r="BD31" i="89"/>
  <c r="BH29" i="88"/>
  <c r="BG29" i="88"/>
  <c r="BF29" i="88"/>
  <c r="BI29" i="88"/>
  <c r="BD30" i="88"/>
  <c r="BC31" i="88"/>
  <c r="BG24" i="87"/>
  <c r="BF24" i="87"/>
  <c r="BI24" i="87"/>
  <c r="BH24" i="87"/>
  <c r="BC26" i="87"/>
  <c r="BD25" i="87"/>
  <c r="BH34" i="90" l="1"/>
  <c r="BI34" i="90"/>
  <c r="BG34" i="90"/>
  <c r="BF34" i="90"/>
  <c r="BD35" i="90"/>
  <c r="BC36" i="90"/>
  <c r="BC33" i="89"/>
  <c r="BD32" i="89"/>
  <c r="BG31" i="89"/>
  <c r="BI31" i="89"/>
  <c r="BH31" i="89"/>
  <c r="BF31" i="89"/>
  <c r="BD31" i="88"/>
  <c r="BC32" i="88"/>
  <c r="BI30" i="88"/>
  <c r="BH30" i="88"/>
  <c r="BG30" i="88"/>
  <c r="BF30" i="88"/>
  <c r="BH25" i="87"/>
  <c r="BG25" i="87"/>
  <c r="BF25" i="87"/>
  <c r="BI25" i="87"/>
  <c r="BD26" i="87"/>
  <c r="BC27" i="87"/>
  <c r="BC37" i="90" l="1"/>
  <c r="BD36" i="90"/>
  <c r="BI35" i="90"/>
  <c r="BG35" i="90"/>
  <c r="BF35" i="90"/>
  <c r="BH35" i="90"/>
  <c r="BH32" i="89"/>
  <c r="BF32" i="89"/>
  <c r="BI32" i="89"/>
  <c r="BG32" i="89"/>
  <c r="BD33" i="89"/>
  <c r="BC34" i="89"/>
  <c r="BC33" i="88"/>
  <c r="BD32" i="88"/>
  <c r="BF31" i="88"/>
  <c r="BI31" i="88"/>
  <c r="BH31" i="88"/>
  <c r="BG31" i="88"/>
  <c r="BD27" i="87"/>
  <c r="BC28" i="87"/>
  <c r="BI26" i="87"/>
  <c r="BH26" i="87"/>
  <c r="BG26" i="87"/>
  <c r="BF26" i="87"/>
  <c r="BG36" i="90" l="1"/>
  <c r="BF36" i="90"/>
  <c r="BI36" i="90"/>
  <c r="BH36" i="90"/>
  <c r="BC38" i="90"/>
  <c r="BD37" i="90"/>
  <c r="BC35" i="89"/>
  <c r="BD34" i="89"/>
  <c r="BI33" i="89"/>
  <c r="BG33" i="89"/>
  <c r="BH33" i="89"/>
  <c r="BF33" i="89"/>
  <c r="BG32" i="88"/>
  <c r="BF32" i="88"/>
  <c r="BI32" i="88"/>
  <c r="BH32" i="88"/>
  <c r="BC34" i="88"/>
  <c r="BD33" i="88"/>
  <c r="BC29" i="87"/>
  <c r="BD28" i="87"/>
  <c r="BF27" i="87"/>
  <c r="BI27" i="87"/>
  <c r="BH27" i="87"/>
  <c r="BG27" i="87"/>
  <c r="BH37" i="90" l="1"/>
  <c r="BG37" i="90"/>
  <c r="BI37" i="90"/>
  <c r="BF37" i="90"/>
  <c r="BD38" i="90"/>
  <c r="BC39" i="90"/>
  <c r="BG34" i="89"/>
  <c r="BF34" i="89"/>
  <c r="BI34" i="89"/>
  <c r="BH34" i="89"/>
  <c r="BC36" i="89"/>
  <c r="BD35" i="89"/>
  <c r="BH33" i="88"/>
  <c r="BG33" i="88"/>
  <c r="BF33" i="88"/>
  <c r="BI33" i="88"/>
  <c r="BD34" i="88"/>
  <c r="BC35" i="88"/>
  <c r="BG28" i="87"/>
  <c r="BF28" i="87"/>
  <c r="BI28" i="87"/>
  <c r="BH28" i="87"/>
  <c r="BC30" i="87"/>
  <c r="BD29" i="87"/>
  <c r="BD39" i="90" l="1"/>
  <c r="BC40" i="90"/>
  <c r="BI38" i="90"/>
  <c r="BH38" i="90"/>
  <c r="BG38" i="90"/>
  <c r="BF38" i="90"/>
  <c r="BD36" i="89"/>
  <c r="BC37" i="89"/>
  <c r="BH35" i="89"/>
  <c r="BG35" i="89"/>
  <c r="BF35" i="89"/>
  <c r="BI35" i="89"/>
  <c r="BI34" i="88"/>
  <c r="BH34" i="88"/>
  <c r="BG34" i="88"/>
  <c r="BF34" i="88"/>
  <c r="BD35" i="88"/>
  <c r="BC36" i="88"/>
  <c r="BH29" i="87"/>
  <c r="BG29" i="87"/>
  <c r="BF29" i="87"/>
  <c r="BI29" i="87"/>
  <c r="BD30" i="87"/>
  <c r="BC31" i="87"/>
  <c r="BC41" i="90" l="1"/>
  <c r="BD40" i="90"/>
  <c r="BF39" i="90"/>
  <c r="BI39" i="90"/>
  <c r="BH39" i="90"/>
  <c r="BG39" i="90"/>
  <c r="BD37" i="89"/>
  <c r="BC38" i="89"/>
  <c r="BI36" i="89"/>
  <c r="BH36" i="89"/>
  <c r="BG36" i="89"/>
  <c r="BF36" i="89"/>
  <c r="BC37" i="88"/>
  <c r="BD36" i="88"/>
  <c r="BF35" i="88"/>
  <c r="BI35" i="88"/>
  <c r="BH35" i="88"/>
  <c r="BG35" i="88"/>
  <c r="BD31" i="87"/>
  <c r="BC32" i="87"/>
  <c r="BI30" i="87"/>
  <c r="BH30" i="87"/>
  <c r="BG30" i="87"/>
  <c r="BF30" i="87"/>
  <c r="BG40" i="90" l="1"/>
  <c r="BF40" i="90"/>
  <c r="BI40" i="90"/>
  <c r="BH40" i="90"/>
  <c r="BC42" i="90"/>
  <c r="BD41" i="90"/>
  <c r="BC39" i="89"/>
  <c r="BD38" i="89"/>
  <c r="BF37" i="89"/>
  <c r="BI37" i="89"/>
  <c r="BH37" i="89"/>
  <c r="BG37" i="89"/>
  <c r="BG36" i="88"/>
  <c r="BF36" i="88"/>
  <c r="BI36" i="88"/>
  <c r="BH36" i="88"/>
  <c r="BC38" i="88"/>
  <c r="BD37" i="88"/>
  <c r="BC33" i="87"/>
  <c r="BD32" i="87"/>
  <c r="BF31" i="87"/>
  <c r="BI31" i="87"/>
  <c r="BH31" i="87"/>
  <c r="BG31" i="87"/>
  <c r="BH41" i="90" l="1"/>
  <c r="BG41" i="90"/>
  <c r="BI41" i="90"/>
  <c r="BF41" i="90"/>
  <c r="BD42" i="90"/>
  <c r="BC43" i="90"/>
  <c r="BG38" i="89"/>
  <c r="BF38" i="89"/>
  <c r="BI38" i="89"/>
  <c r="BH38" i="89"/>
  <c r="BC40" i="89"/>
  <c r="BD39" i="89"/>
  <c r="BH37" i="88"/>
  <c r="BG37" i="88"/>
  <c r="BF37" i="88"/>
  <c r="BI37" i="88"/>
  <c r="BD38" i="88"/>
  <c r="BC39" i="88"/>
  <c r="BG32" i="87"/>
  <c r="BF32" i="87"/>
  <c r="BI32" i="87"/>
  <c r="BH32" i="87"/>
  <c r="BC34" i="87"/>
  <c r="BD33" i="87"/>
  <c r="BC44" i="90" l="1"/>
  <c r="BD43" i="90"/>
  <c r="BF42" i="90"/>
  <c r="BI42" i="90"/>
  <c r="BH42" i="90"/>
  <c r="BG42" i="90"/>
  <c r="BH39" i="89"/>
  <c r="BG39" i="89"/>
  <c r="BF39" i="89"/>
  <c r="BI39" i="89"/>
  <c r="BD40" i="89"/>
  <c r="BC41" i="89"/>
  <c r="BI38" i="88"/>
  <c r="BH38" i="88"/>
  <c r="BG38" i="88"/>
  <c r="BF38" i="88"/>
  <c r="BD39" i="88"/>
  <c r="BC40" i="88"/>
  <c r="BH33" i="87"/>
  <c r="BG33" i="87"/>
  <c r="BF33" i="87"/>
  <c r="BI33" i="87"/>
  <c r="BC35" i="87"/>
  <c r="BD34" i="87"/>
  <c r="BG43" i="90" l="1"/>
  <c r="BH43" i="90"/>
  <c r="BF43" i="90"/>
  <c r="BI43" i="90"/>
  <c r="BC45" i="90"/>
  <c r="BD44" i="90"/>
  <c r="BD41" i="89"/>
  <c r="BC42" i="89"/>
  <c r="BI40" i="89"/>
  <c r="BH40" i="89"/>
  <c r="BG40" i="89"/>
  <c r="BF40" i="89"/>
  <c r="BC41" i="88"/>
  <c r="BD40" i="88"/>
  <c r="BF39" i="88"/>
  <c r="BI39" i="88"/>
  <c r="BH39" i="88"/>
  <c r="BG39" i="88"/>
  <c r="BI34" i="87"/>
  <c r="BH34" i="87"/>
  <c r="BG34" i="87"/>
  <c r="BF34" i="87"/>
  <c r="BC36" i="87"/>
  <c r="BD35" i="87"/>
  <c r="BH44" i="90" l="1"/>
  <c r="BI44" i="90"/>
  <c r="BG44" i="90"/>
  <c r="BF44" i="90"/>
  <c r="BD45" i="90"/>
  <c r="BC46" i="90"/>
  <c r="BC43" i="89"/>
  <c r="BD42" i="89"/>
  <c r="BF41" i="89"/>
  <c r="BI41" i="89"/>
  <c r="BH41" i="89"/>
  <c r="BG41" i="89"/>
  <c r="BG40" i="88"/>
  <c r="BF40" i="88"/>
  <c r="BI40" i="88"/>
  <c r="BH40" i="88"/>
  <c r="BC42" i="88"/>
  <c r="BD41" i="88"/>
  <c r="BG35" i="87"/>
  <c r="BI35" i="87"/>
  <c r="BH35" i="87"/>
  <c r="BF35" i="87"/>
  <c r="BD36" i="87"/>
  <c r="BC37" i="87"/>
  <c r="BC47" i="90" l="1"/>
  <c r="BD46" i="90"/>
  <c r="BI45" i="90"/>
  <c r="BF45" i="90"/>
  <c r="BH45" i="90"/>
  <c r="BG45" i="90"/>
  <c r="BF42" i="89"/>
  <c r="BI42" i="89"/>
  <c r="BH42" i="89"/>
  <c r="BG42" i="89"/>
  <c r="BC44" i="89"/>
  <c r="BD43" i="89"/>
  <c r="BH41" i="88"/>
  <c r="BG41" i="88"/>
  <c r="BF41" i="88"/>
  <c r="BI41" i="88"/>
  <c r="BC43" i="88"/>
  <c r="BD42" i="88"/>
  <c r="BH36" i="87"/>
  <c r="BI36" i="87"/>
  <c r="BG36" i="87"/>
  <c r="BF36" i="87"/>
  <c r="BD37" i="87"/>
  <c r="BC38" i="87"/>
  <c r="BF46" i="90" l="1"/>
  <c r="BH46" i="90"/>
  <c r="BG46" i="90"/>
  <c r="BI46" i="90"/>
  <c r="BC48" i="90"/>
  <c r="BD47" i="90"/>
  <c r="BH43" i="89"/>
  <c r="BG43" i="89"/>
  <c r="BF43" i="89"/>
  <c r="BI43" i="89"/>
  <c r="BD44" i="89"/>
  <c r="BC45" i="89"/>
  <c r="BF42" i="88"/>
  <c r="BI42" i="88"/>
  <c r="BH42" i="88"/>
  <c r="BG42" i="88"/>
  <c r="BC44" i="88"/>
  <c r="BD43" i="88"/>
  <c r="BC39" i="87"/>
  <c r="BD38" i="87"/>
  <c r="BI37" i="87"/>
  <c r="BG37" i="87"/>
  <c r="BF37" i="87"/>
  <c r="BH37" i="87"/>
  <c r="BG47" i="90" l="1"/>
  <c r="BI47" i="90"/>
  <c r="BH47" i="90"/>
  <c r="BF47" i="90"/>
  <c r="BD48" i="90"/>
  <c r="BC49" i="90"/>
  <c r="BI44" i="89"/>
  <c r="BH44" i="89"/>
  <c r="BG44" i="89"/>
  <c r="BF44" i="89"/>
  <c r="BD45" i="89"/>
  <c r="BC46" i="89"/>
  <c r="BG43" i="88"/>
  <c r="BF43" i="88"/>
  <c r="BI43" i="88"/>
  <c r="BH43" i="88"/>
  <c r="BC45" i="88"/>
  <c r="BD44" i="88"/>
  <c r="BF38" i="87"/>
  <c r="BI38" i="87"/>
  <c r="BH38" i="87"/>
  <c r="BG38" i="87"/>
  <c r="BC40" i="87"/>
  <c r="BD39" i="87"/>
  <c r="BC50" i="90" l="1"/>
  <c r="BD49" i="90"/>
  <c r="BH48" i="90"/>
  <c r="BF48" i="90"/>
  <c r="BI48" i="90"/>
  <c r="BG48" i="90"/>
  <c r="BF45" i="89"/>
  <c r="BI45" i="89"/>
  <c r="BH45" i="89"/>
  <c r="BG45" i="89"/>
  <c r="BC47" i="89"/>
  <c r="BD46" i="89"/>
  <c r="BH44" i="88"/>
  <c r="BG44" i="88"/>
  <c r="BF44" i="88"/>
  <c r="BI44" i="88"/>
  <c r="BD45" i="88"/>
  <c r="BC46" i="88"/>
  <c r="BH39" i="87"/>
  <c r="BG39" i="87"/>
  <c r="BI39" i="87"/>
  <c r="BF39" i="87"/>
  <c r="BD40" i="87"/>
  <c r="BC41" i="87"/>
  <c r="BI49" i="90" l="1"/>
  <c r="BH49" i="90"/>
  <c r="BG49" i="90"/>
  <c r="BF49" i="90"/>
  <c r="BC51" i="90"/>
  <c r="BD50" i="90"/>
  <c r="BC48" i="89"/>
  <c r="BD47" i="89"/>
  <c r="BG46" i="89"/>
  <c r="BF46" i="89"/>
  <c r="BI46" i="89"/>
  <c r="BH46" i="89"/>
  <c r="BI45" i="88"/>
  <c r="BH45" i="88"/>
  <c r="BF45" i="88"/>
  <c r="BG45" i="88"/>
  <c r="BD46" i="88"/>
  <c r="BC47" i="88"/>
  <c r="BC42" i="87"/>
  <c r="BD41" i="87"/>
  <c r="BI40" i="87"/>
  <c r="BH40" i="87"/>
  <c r="BG40" i="87"/>
  <c r="BF40" i="87"/>
  <c r="BH50" i="90" l="1"/>
  <c r="BF50" i="90"/>
  <c r="BI50" i="90"/>
  <c r="BG50" i="90"/>
  <c r="BC52" i="90"/>
  <c r="BD51" i="90"/>
  <c r="BH47" i="89"/>
  <c r="BG47" i="89"/>
  <c r="BF47" i="89"/>
  <c r="BI47" i="89"/>
  <c r="BD48" i="89"/>
  <c r="BC49" i="89"/>
  <c r="BC48" i="88"/>
  <c r="BD47" i="88"/>
  <c r="BF46" i="88"/>
  <c r="BI46" i="88"/>
  <c r="BH46" i="88"/>
  <c r="BG46" i="88"/>
  <c r="BG41" i="87"/>
  <c r="BF41" i="87"/>
  <c r="BI41" i="87"/>
  <c r="BH41" i="87"/>
  <c r="BD42" i="87"/>
  <c r="BC43" i="87"/>
  <c r="BC53" i="90" l="1"/>
  <c r="BD52" i="90"/>
  <c r="BC50" i="89"/>
  <c r="BD49" i="89"/>
  <c r="BI48" i="89"/>
  <c r="BH48" i="89"/>
  <c r="BG48" i="89"/>
  <c r="BF48" i="89"/>
  <c r="BG47" i="88"/>
  <c r="BF47" i="88"/>
  <c r="BI47" i="88"/>
  <c r="BH47" i="88"/>
  <c r="BC49" i="88"/>
  <c r="BD48" i="88"/>
  <c r="BI42" i="87"/>
  <c r="BH42" i="87"/>
  <c r="BG42" i="87"/>
  <c r="BF42" i="87"/>
  <c r="BC44" i="87"/>
  <c r="BD43" i="87"/>
  <c r="BG51" i="90" l="1"/>
  <c r="BI51" i="90"/>
  <c r="BH51" i="90"/>
  <c r="BF51" i="90"/>
  <c r="BC54" i="90"/>
  <c r="BD53" i="90"/>
  <c r="BF49" i="89"/>
  <c r="BI49" i="89"/>
  <c r="BH49" i="89"/>
  <c r="BG49" i="89"/>
  <c r="BC51" i="89"/>
  <c r="BD50" i="89"/>
  <c r="BC50" i="88"/>
  <c r="BD49" i="88"/>
  <c r="BH48" i="88"/>
  <c r="BG48" i="88"/>
  <c r="BF48" i="88"/>
  <c r="BI48" i="88"/>
  <c r="BF43" i="87"/>
  <c r="BG43" i="87"/>
  <c r="BI43" i="87"/>
  <c r="BH43" i="87"/>
  <c r="BC45" i="87"/>
  <c r="BD44" i="87"/>
  <c r="BF52" i="90" l="1"/>
  <c r="BG52" i="90"/>
  <c r="BI52" i="90"/>
  <c r="BH52" i="90"/>
  <c r="BC55" i="90"/>
  <c r="BD54" i="90"/>
  <c r="BI50" i="89"/>
  <c r="BH50" i="89"/>
  <c r="BG50" i="89"/>
  <c r="BF50" i="89"/>
  <c r="BD51" i="89"/>
  <c r="BC52" i="89"/>
  <c r="BI49" i="88"/>
  <c r="BH49" i="88"/>
  <c r="BG49" i="88"/>
  <c r="BF49" i="88"/>
  <c r="BD50" i="88"/>
  <c r="BC51" i="88"/>
  <c r="BG44" i="87"/>
  <c r="BI44" i="87"/>
  <c r="BH44" i="87"/>
  <c r="BF44" i="87"/>
  <c r="BD45" i="87"/>
  <c r="BC46" i="87"/>
  <c r="BH53" i="90" l="1"/>
  <c r="BG53" i="90"/>
  <c r="BI53" i="90"/>
  <c r="BF53" i="90"/>
  <c r="BD55" i="90"/>
  <c r="BC56" i="90"/>
  <c r="BC53" i="89"/>
  <c r="BD52" i="89"/>
  <c r="BC52" i="88"/>
  <c r="BD51" i="88"/>
  <c r="BH50" i="88"/>
  <c r="BG50" i="88"/>
  <c r="BF50" i="88"/>
  <c r="BI50" i="88"/>
  <c r="BD46" i="87"/>
  <c r="BC47" i="87"/>
  <c r="BH45" i="87"/>
  <c r="BI45" i="87"/>
  <c r="BG45" i="87"/>
  <c r="BF45" i="87"/>
  <c r="BC57" i="90" l="1"/>
  <c r="BD56" i="90"/>
  <c r="BF54" i="90"/>
  <c r="BI54" i="90"/>
  <c r="BH54" i="90"/>
  <c r="BG54" i="90"/>
  <c r="BH51" i="89"/>
  <c r="BG51" i="89"/>
  <c r="BF51" i="89"/>
  <c r="BI51" i="89"/>
  <c r="BD53" i="89"/>
  <c r="BC54" i="89"/>
  <c r="BC53" i="88"/>
  <c r="BD52" i="88"/>
  <c r="BC48" i="87"/>
  <c r="BD47" i="87"/>
  <c r="BI46" i="87"/>
  <c r="BG46" i="87"/>
  <c r="BF46" i="87"/>
  <c r="BH46" i="87"/>
  <c r="BH55" i="90" l="1"/>
  <c r="BG55" i="90"/>
  <c r="BI55" i="90"/>
  <c r="BF55" i="90"/>
  <c r="BD57" i="90"/>
  <c r="BC58" i="90"/>
  <c r="BC55" i="89"/>
  <c r="BD54" i="89"/>
  <c r="BG52" i="89"/>
  <c r="BF52" i="89"/>
  <c r="BI52" i="89"/>
  <c r="BH52" i="89"/>
  <c r="BC54" i="88"/>
  <c r="BD53" i="88"/>
  <c r="BG51" i="88"/>
  <c r="BF51" i="88"/>
  <c r="BI51" i="88"/>
  <c r="BH51" i="88"/>
  <c r="BF47" i="87"/>
  <c r="BI47" i="87"/>
  <c r="BH47" i="87"/>
  <c r="BG47" i="87"/>
  <c r="BC49" i="87"/>
  <c r="BD48" i="87"/>
  <c r="BD58" i="90" l="1"/>
  <c r="BC59" i="90"/>
  <c r="BF56" i="90"/>
  <c r="BI56" i="90"/>
  <c r="BG56" i="90"/>
  <c r="BH56" i="90"/>
  <c r="BI53" i="89"/>
  <c r="BH53" i="89"/>
  <c r="BG53" i="89"/>
  <c r="BF53" i="89"/>
  <c r="BD55" i="89"/>
  <c r="BC56" i="89"/>
  <c r="BC55" i="88"/>
  <c r="BD54" i="88"/>
  <c r="BF52" i="88"/>
  <c r="BI52" i="88"/>
  <c r="BH52" i="88"/>
  <c r="BG52" i="88"/>
  <c r="BG48" i="87"/>
  <c r="BF48" i="87"/>
  <c r="BI48" i="87"/>
  <c r="BH48" i="87"/>
  <c r="BC50" i="87"/>
  <c r="BD49" i="87"/>
  <c r="BC60" i="90" l="1"/>
  <c r="BD59" i="90"/>
  <c r="BH57" i="90"/>
  <c r="BG57" i="90"/>
  <c r="BF57" i="90"/>
  <c r="BI57" i="90"/>
  <c r="BC57" i="89"/>
  <c r="BD56" i="89"/>
  <c r="BG54" i="89"/>
  <c r="BF54" i="89"/>
  <c r="BI54" i="89"/>
  <c r="BH54" i="89"/>
  <c r="BC56" i="88"/>
  <c r="BD55" i="88"/>
  <c r="BH53" i="88"/>
  <c r="BG53" i="88"/>
  <c r="BF53" i="88"/>
  <c r="BI53" i="88"/>
  <c r="BI49" i="87"/>
  <c r="BH49" i="87"/>
  <c r="BG49" i="87"/>
  <c r="BF49" i="87"/>
  <c r="BC51" i="87"/>
  <c r="BD50" i="87"/>
  <c r="BF58" i="90" l="1"/>
  <c r="BI58" i="90"/>
  <c r="BH58" i="90"/>
  <c r="BG58" i="90"/>
  <c r="BC61" i="90"/>
  <c r="BD60" i="90"/>
  <c r="BI55" i="89"/>
  <c r="BH55" i="89"/>
  <c r="BG55" i="89"/>
  <c r="BF55" i="89"/>
  <c r="BD57" i="89"/>
  <c r="BC58" i="89"/>
  <c r="BC57" i="88"/>
  <c r="BD56" i="88"/>
  <c r="BF54" i="88"/>
  <c r="BI54" i="88"/>
  <c r="BH54" i="88"/>
  <c r="BG54" i="88"/>
  <c r="BH50" i="87"/>
  <c r="BG50" i="87"/>
  <c r="BI50" i="87"/>
  <c r="BF50" i="87"/>
  <c r="BD51" i="87"/>
  <c r="BC52" i="87"/>
  <c r="BG59" i="90" l="1"/>
  <c r="BF59" i="90"/>
  <c r="BI59" i="90"/>
  <c r="BH59" i="90"/>
  <c r="BD61" i="90"/>
  <c r="BC62" i="90"/>
  <c r="BC59" i="89"/>
  <c r="BD58" i="89"/>
  <c r="BG56" i="89"/>
  <c r="BF56" i="89"/>
  <c r="BI56" i="89"/>
  <c r="BH56" i="89"/>
  <c r="BC58" i="88"/>
  <c r="BD57" i="88"/>
  <c r="BH55" i="88"/>
  <c r="BG55" i="88"/>
  <c r="BF55" i="88"/>
  <c r="BI55" i="88"/>
  <c r="BC53" i="87"/>
  <c r="BD52" i="87"/>
  <c r="BC63" i="90" l="1"/>
  <c r="BD63" i="90" s="1"/>
  <c r="BD62" i="90"/>
  <c r="BH60" i="90"/>
  <c r="BG60" i="90"/>
  <c r="BF60" i="90"/>
  <c r="BI60" i="90"/>
  <c r="BI57" i="89"/>
  <c r="BH57" i="89"/>
  <c r="BG57" i="89"/>
  <c r="BF57" i="89"/>
  <c r="BC60" i="89"/>
  <c r="BD59" i="89"/>
  <c r="BF56" i="88"/>
  <c r="BI56" i="88"/>
  <c r="BH56" i="88"/>
  <c r="BG56" i="88"/>
  <c r="BD58" i="88"/>
  <c r="BC59" i="88"/>
  <c r="BG51" i="87"/>
  <c r="BF51" i="87"/>
  <c r="BI51" i="87"/>
  <c r="BH51" i="87"/>
  <c r="BD53" i="87"/>
  <c r="BC54" i="87"/>
  <c r="BI61" i="90" l="1"/>
  <c r="BH61" i="90"/>
  <c r="BG61" i="90"/>
  <c r="BF61" i="90"/>
  <c r="BG62" i="90"/>
  <c r="BF62" i="90"/>
  <c r="BI62" i="90"/>
  <c r="BH62" i="90"/>
  <c r="BG58" i="89"/>
  <c r="BF58" i="89"/>
  <c r="BI58" i="89"/>
  <c r="BH58" i="89"/>
  <c r="BD60" i="89"/>
  <c r="BC61" i="89"/>
  <c r="BC60" i="88"/>
  <c r="BD59" i="88"/>
  <c r="BH57" i="88"/>
  <c r="BG57" i="88"/>
  <c r="BF57" i="88"/>
  <c r="BI57" i="88"/>
  <c r="BC55" i="87"/>
  <c r="BD54" i="87"/>
  <c r="BF52" i="87"/>
  <c r="BI52" i="87"/>
  <c r="BH52" i="87"/>
  <c r="BG52" i="87"/>
  <c r="BH59" i="89" l="1"/>
  <c r="BG59" i="89"/>
  <c r="BF59" i="89"/>
  <c r="BI59" i="89"/>
  <c r="BC62" i="89"/>
  <c r="BD61" i="89"/>
  <c r="BF58" i="88"/>
  <c r="BI58" i="88"/>
  <c r="BH58" i="88"/>
  <c r="BG58" i="88"/>
  <c r="BC61" i="88"/>
  <c r="BD60" i="88"/>
  <c r="BH53" i="87"/>
  <c r="BG53" i="87"/>
  <c r="BI53" i="87"/>
  <c r="BF53" i="87"/>
  <c r="BC56" i="87"/>
  <c r="BD55" i="87"/>
  <c r="BF60" i="89" l="1"/>
  <c r="BI60" i="89"/>
  <c r="BH60" i="89"/>
  <c r="BG60" i="89"/>
  <c r="BC63" i="89"/>
  <c r="BD63" i="89" s="1"/>
  <c r="BD62" i="89"/>
  <c r="BG59" i="88"/>
  <c r="BF59" i="88"/>
  <c r="BI59" i="88"/>
  <c r="BH59" i="88"/>
  <c r="BD61" i="88"/>
  <c r="BC62" i="88"/>
  <c r="BF54" i="87"/>
  <c r="BI54" i="87"/>
  <c r="BH54" i="87"/>
  <c r="BG54" i="87"/>
  <c r="BC57" i="87"/>
  <c r="BD56" i="87"/>
  <c r="BG61" i="89" l="1"/>
  <c r="BF61" i="89"/>
  <c r="BI61" i="89"/>
  <c r="BH61" i="89"/>
  <c r="BI62" i="89"/>
  <c r="BH62" i="89"/>
  <c r="BG62" i="89"/>
  <c r="BF62" i="89"/>
  <c r="BC63" i="88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D31" i="7"/>
  <c r="CD21" i="7"/>
  <c r="CD11" i="7"/>
  <c r="CD7" i="7"/>
  <c r="CH7" i="7"/>
  <c r="CH11" i="7"/>
  <c r="CH21" i="7"/>
  <c r="CH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J7" i="7"/>
  <c r="BD7" i="7"/>
  <c r="BJ11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B7" i="7"/>
  <c r="CB31" i="7"/>
  <c r="CB21" i="7"/>
  <c r="CB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BX31" i="7"/>
  <c r="BX21" i="7"/>
  <c r="BX11" i="7"/>
  <c r="BX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T7" i="7"/>
  <c r="BT11" i="7"/>
  <c r="BT21" i="7"/>
  <c r="BT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BZ31" i="7"/>
  <c r="BZ21" i="7"/>
  <c r="BZ11" i="7"/>
  <c r="BZ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X7" i="7"/>
  <c r="AX11" i="7"/>
  <c r="AO7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V31" i="7"/>
  <c r="BV21" i="7"/>
  <c r="BV11" i="7"/>
  <c r="BV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R7" i="7"/>
  <c r="BP7" i="7"/>
  <c r="BO32" i="7"/>
  <c r="CF32" i="7" s="1"/>
  <c r="BR31" i="7"/>
  <c r="BP31" i="7"/>
  <c r="BN21" i="7"/>
  <c r="BO22" i="7"/>
  <c r="CF22" i="7" s="1"/>
  <c r="BR21" i="7"/>
  <c r="BP21" i="7"/>
  <c r="BR11" i="7"/>
  <c r="BP11" i="7"/>
  <c r="BO12" i="7"/>
  <c r="CF12" i="7" s="1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AU21" i="7"/>
  <c r="BG21" i="7"/>
  <c r="BA21" i="7"/>
  <c r="BJ21" i="7"/>
  <c r="CD12" i="7" l="1"/>
  <c r="CH12" i="7"/>
  <c r="CD22" i="7"/>
  <c r="CH22" i="7"/>
  <c r="CD32" i="7"/>
  <c r="CH32" i="7"/>
  <c r="AW8" i="34"/>
  <c r="AX8" i="34" s="1"/>
  <c r="BX12" i="7"/>
  <c r="CB12" i="7"/>
  <c r="BX22" i="7"/>
  <c r="CB22" i="7"/>
  <c r="BX32" i="7"/>
  <c r="CB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Z12" i="7"/>
  <c r="BT12" i="7"/>
  <c r="BZ22" i="7"/>
  <c r="BT22" i="7"/>
  <c r="BZ32" i="7"/>
  <c r="BT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N31" i="7"/>
  <c r="BP12" i="7"/>
  <c r="BV12" i="7"/>
  <c r="BR22" i="7"/>
  <c r="BV22" i="7"/>
  <c r="BR32" i="7"/>
  <c r="BV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O13" i="7"/>
  <c r="CF13" i="7" s="1"/>
  <c r="BR12" i="7"/>
  <c r="BO33" i="7"/>
  <c r="CF33" i="7" s="1"/>
  <c r="BP32" i="7"/>
  <c r="BO23" i="7"/>
  <c r="CF23" i="7" s="1"/>
  <c r="BP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U31" i="7"/>
  <c r="BD21" i="7"/>
  <c r="AX21" i="7"/>
  <c r="CD33" i="7" l="1"/>
  <c r="CH33" i="7"/>
  <c r="CH23" i="7"/>
  <c r="CD23" i="7"/>
  <c r="CH13" i="7"/>
  <c r="CD13" i="7"/>
  <c r="Y14" i="46"/>
  <c r="BX23" i="7"/>
  <c r="CB23" i="7"/>
  <c r="BX33" i="7"/>
  <c r="CB33" i="7"/>
  <c r="BX13" i="7"/>
  <c r="CB13" i="7"/>
  <c r="C79" i="46"/>
  <c r="M8" i="46"/>
  <c r="AY15" i="46"/>
  <c r="AY55" i="34"/>
  <c r="AY25" i="34"/>
  <c r="AY37" i="46"/>
  <c r="BZ23" i="7"/>
  <c r="BT23" i="7"/>
  <c r="BZ13" i="7"/>
  <c r="BT13" i="7"/>
  <c r="BZ33" i="7"/>
  <c r="BT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V13" i="7"/>
  <c r="BV33" i="7"/>
  <c r="BV23" i="7"/>
  <c r="BO14" i="7"/>
  <c r="CF14" i="7" s="1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R13" i="7"/>
  <c r="BP13" i="7"/>
  <c r="BR33" i="7"/>
  <c r="BP33" i="7"/>
  <c r="BO34" i="7"/>
  <c r="CF34" i="7" s="1"/>
  <c r="BR23" i="7"/>
  <c r="BP23" i="7"/>
  <c r="BO24" i="7"/>
  <c r="CF24" i="7" s="1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D14" i="7" l="1"/>
  <c r="CH14" i="7"/>
  <c r="CD34" i="7"/>
  <c r="CH34" i="7"/>
  <c r="CD24" i="7"/>
  <c r="CH24" i="7"/>
  <c r="CB14" i="7"/>
  <c r="BX34" i="7"/>
  <c r="CB34" i="7"/>
  <c r="BX24" i="7"/>
  <c r="CB24" i="7"/>
  <c r="BT14" i="7"/>
  <c r="BX14" i="7"/>
  <c r="BZ34" i="7"/>
  <c r="BT34" i="7"/>
  <c r="BZ24" i="7"/>
  <c r="BT24" i="7"/>
  <c r="BR14" i="7"/>
  <c r="BZ14" i="7"/>
  <c r="BP14" i="7"/>
  <c r="BO15" i="7"/>
  <c r="CF15" i="7" s="1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V14" i="7"/>
  <c r="BV34" i="7"/>
  <c r="BV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R34" i="7"/>
  <c r="BO35" i="7"/>
  <c r="CF35" i="7" s="1"/>
  <c r="BP34" i="7"/>
  <c r="BR24" i="7"/>
  <c r="BO25" i="7"/>
  <c r="CF25" i="7" s="1"/>
  <c r="BP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H35" i="7" l="1"/>
  <c r="CD35" i="7"/>
  <c r="CH25" i="7"/>
  <c r="CD25" i="7"/>
  <c r="CH15" i="7"/>
  <c r="CD15" i="7"/>
  <c r="CB15" i="7"/>
  <c r="BX25" i="7"/>
  <c r="CB25" i="7"/>
  <c r="BX35" i="7"/>
  <c r="CB35" i="7"/>
  <c r="BP15" i="7"/>
  <c r="BX15" i="7"/>
  <c r="BR15" i="7"/>
  <c r="BZ15" i="7"/>
  <c r="BT15" i="7"/>
  <c r="BZ35" i="7"/>
  <c r="BT35" i="7"/>
  <c r="BO16" i="7"/>
  <c r="CF16" i="7" s="1"/>
  <c r="BZ25" i="7"/>
  <c r="BT25" i="7"/>
  <c r="BV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V35" i="7"/>
  <c r="BV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R35" i="7"/>
  <c r="BP35" i="7"/>
  <c r="BO36" i="7"/>
  <c r="CF36" i="7" s="1"/>
  <c r="BR25" i="7"/>
  <c r="BP25" i="7"/>
  <c r="BO26" i="7"/>
  <c r="CF26" i="7" s="1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D36" i="7" l="1"/>
  <c r="CH36" i="7"/>
  <c r="CD16" i="7"/>
  <c r="CH16" i="7"/>
  <c r="CD26" i="7"/>
  <c r="CH26" i="7"/>
  <c r="CB16" i="7"/>
  <c r="BX36" i="7"/>
  <c r="CB36" i="7"/>
  <c r="BX26" i="7"/>
  <c r="CB26" i="7"/>
  <c r="BR16" i="7"/>
  <c r="BX16" i="7"/>
  <c r="BP16" i="7"/>
  <c r="BV16" i="7"/>
  <c r="BZ36" i="7"/>
  <c r="BT36" i="7"/>
  <c r="BZ26" i="7"/>
  <c r="BT26" i="7"/>
  <c r="BZ16" i="7"/>
  <c r="BT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V26" i="7"/>
  <c r="BV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R36" i="7"/>
  <c r="BP36" i="7"/>
  <c r="BR26" i="7"/>
  <c r="BP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O31" i="7"/>
  <c r="AO21" i="7"/>
  <c r="AL7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21" i="7"/>
  <c r="AR31" i="7"/>
  <c r="AR1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11" i="7"/>
  <c r="AL21" i="7"/>
  <c r="AL3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31" i="7"/>
  <c r="AI21" i="7"/>
  <c r="AI1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N12" i="7"/>
  <c r="BG12" i="7"/>
  <c r="BJ12" i="7"/>
  <c r="BN22" i="7" l="1"/>
  <c r="BN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U22" i="7"/>
  <c r="AL12" i="7"/>
  <c r="AO12" i="7"/>
  <c r="BA12" i="7"/>
  <c r="AU12" i="7"/>
  <c r="BJ13" i="7"/>
  <c r="BJ22" i="7"/>
  <c r="AR12" i="7"/>
  <c r="AX12" i="7"/>
  <c r="BA22" i="7"/>
  <c r="BD12" i="7"/>
  <c r="AI12" i="7"/>
  <c r="BG22" i="7"/>
  <c r="BG13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F14" i="17"/>
  <c r="H14" i="25"/>
  <c r="M52" i="5"/>
  <c r="U52" i="5"/>
  <c r="E58" i="5"/>
  <c r="AO58" i="5"/>
  <c r="AA26" i="7"/>
  <c r="AU13" i="7"/>
  <c r="BD13" i="7"/>
  <c r="AI22" i="7"/>
  <c r="AL13" i="7"/>
  <c r="AI13" i="7"/>
  <c r="AL22" i="7"/>
  <c r="AO22" i="7"/>
  <c r="AX22" i="7"/>
  <c r="BA13" i="7"/>
  <c r="AX13" i="7"/>
  <c r="AO13" i="7"/>
  <c r="AR13" i="7"/>
  <c r="AR22" i="7"/>
  <c r="BD22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N23" i="7"/>
  <c r="BN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U23" i="7"/>
  <c r="BG23" i="7"/>
  <c r="AL32" i="7"/>
  <c r="BA23" i="7"/>
  <c r="AR23" i="7"/>
  <c r="AR32" i="7"/>
  <c r="AI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N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N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BJ23" i="7"/>
  <c r="AX23" i="7"/>
  <c r="BD23" i="7"/>
  <c r="AO14" i="7"/>
  <c r="BG14" i="7"/>
  <c r="AO23" i="7"/>
  <c r="AI23" i="7"/>
  <c r="AU14" i="7"/>
  <c r="AU32" i="7"/>
  <c r="AO32" i="7"/>
  <c r="BA14" i="7"/>
  <c r="AU33" i="7"/>
  <c r="AL23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N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N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O33" i="7"/>
  <c r="BJ24" i="7"/>
  <c r="BG24" i="7"/>
  <c r="AI33" i="7"/>
  <c r="BA24" i="7"/>
  <c r="AL33" i="7"/>
  <c r="BJ15" i="7"/>
  <c r="AR33" i="7"/>
  <c r="AX14" i="7"/>
  <c r="BG15" i="7"/>
  <c r="AL14" i="7"/>
  <c r="AU15" i="7"/>
  <c r="AR14" i="7"/>
  <c r="AI14" i="7"/>
  <c r="BA15" i="7"/>
  <c r="BJ14" i="7"/>
  <c r="AU24" i="7"/>
  <c r="BD1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N25" i="7"/>
  <c r="BN34" i="7"/>
  <c r="BN16" i="7"/>
  <c r="BJ16" i="7"/>
  <c r="BA16" i="7"/>
  <c r="AR24" i="7"/>
  <c r="AO24" i="7"/>
  <c r="AL24" i="7"/>
  <c r="BJ25" i="7"/>
  <c r="AI24" i="7"/>
  <c r="BD24" i="7"/>
  <c r="AI15" i="7"/>
  <c r="AL34" i="7"/>
  <c r="AX24" i="7"/>
  <c r="AR15" i="7"/>
  <c r="BD15" i="7"/>
  <c r="BG25" i="7"/>
  <c r="AL15" i="7"/>
  <c r="AX15" i="7"/>
  <c r="AO15" i="7"/>
  <c r="BG16" i="7"/>
  <c r="BG17" i="7" l="1"/>
  <c r="BJ17" i="7"/>
  <c r="BK16" i="7" s="1"/>
  <c r="BA17" i="7"/>
  <c r="BB16" i="7" s="1"/>
  <c r="AL16" i="7"/>
  <c r="AX16" i="7"/>
  <c r="AL25" i="7"/>
  <c r="AX25" i="7"/>
  <c r="AI16" i="7"/>
  <c r="AU25" i="7"/>
  <c r="AR16" i="7"/>
  <c r="AU16" i="7"/>
  <c r="BD25" i="7"/>
  <c r="AU34" i="7"/>
  <c r="AR34" i="7"/>
  <c r="AI25" i="7"/>
  <c r="AR25" i="7"/>
  <c r="AO34" i="7"/>
  <c r="AO25" i="7"/>
  <c r="AO16" i="7"/>
  <c r="BA25" i="7"/>
  <c r="BD16" i="7"/>
  <c r="AI34" i="7"/>
  <c r="BH13" i="7" l="1"/>
  <c r="BH11" i="7"/>
  <c r="BH12" i="7"/>
  <c r="BH14" i="7"/>
  <c r="BH15" i="7"/>
  <c r="BH16" i="7"/>
  <c r="BD17" i="7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N35" i="7"/>
  <c r="BN26" i="7"/>
  <c r="AI17" i="7"/>
  <c r="AL26" i="7"/>
  <c r="BG26" i="7"/>
  <c r="AU35" i="7"/>
  <c r="BG27" i="7" l="1"/>
  <c r="BH26" i="7" s="1"/>
  <c r="BH17" i="7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BJ26" i="7"/>
  <c r="BD26" i="7"/>
  <c r="AL35" i="7"/>
  <c r="AR26" i="7"/>
  <c r="AR35" i="7"/>
  <c r="AI35" i="7"/>
  <c r="AO35" i="7"/>
  <c r="AI26" i="7"/>
  <c r="BA26" i="7"/>
  <c r="AX26" i="7"/>
  <c r="AO26" i="7"/>
  <c r="AU26" i="7"/>
  <c r="BJ27" i="7" l="1"/>
  <c r="BK21" i="7" s="1"/>
  <c r="BH22" i="7"/>
  <c r="BH21" i="7"/>
  <c r="BH23" i="7"/>
  <c r="BH24" i="7"/>
  <c r="BH25" i="7"/>
  <c r="BA27" i="7"/>
  <c r="BB26" i="7" s="1"/>
  <c r="BD27" i="7"/>
  <c r="BE17" i="7"/>
  <c r="BK23" i="7"/>
  <c r="BK24" i="7"/>
  <c r="AP17" i="7"/>
  <c r="AU27" i="7"/>
  <c r="AV23" i="7" s="1"/>
  <c r="AV17" i="7"/>
  <c r="BB21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N36" i="7"/>
  <c r="AM12" i="7"/>
  <c r="AM13" i="7"/>
  <c r="AM11" i="7"/>
  <c r="AM14" i="7"/>
  <c r="AM15" i="7"/>
  <c r="AO36" i="7"/>
  <c r="BK26" i="7" l="1"/>
  <c r="BK22" i="7"/>
  <c r="BK25" i="7"/>
  <c r="BH27" i="7"/>
  <c r="BB22" i="7"/>
  <c r="BB24" i="7"/>
  <c r="BB25" i="7"/>
  <c r="BB23" i="7"/>
  <c r="BK27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I36" i="7"/>
  <c r="AR36" i="7"/>
  <c r="AU36" i="7"/>
  <c r="BB27" i="7" l="1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BJ7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D38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AK3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4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AG5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C50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56" authorId="0" shapeId="0" xr:uid="{00000000-0006-0000-3D00-000001000000}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<sst xmlns="http://schemas.openxmlformats.org/spreadsheetml/2006/main" count="20593" uniqueCount="618">
  <si>
    <t>II.  Upgrades &amp; Downgrades</t>
  </si>
  <si>
    <t>Note:  Chart depicts the number of upgrades / downgrades for all rated companies, including subisidiaries, during the quarter.</t>
  </si>
  <si>
    <t>Source:  S&amp;P Global Market Intelligence and EEI Finance Dept.</t>
  </si>
  <si>
    <t>Note:  Chart depicts the number of occurences and includes each event, even if multiple downgrades occurred for a single company.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</si>
  <si>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</si>
  <si>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</si>
  <si>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</si>
  <si>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</si>
  <si>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</si>
  <si>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</si>
  <si>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</si>
  <si>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</si>
  <si>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</si>
  <si>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</si>
  <si>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</si>
  <si>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</si>
  <si>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</si>
  <si>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</si>
  <si>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</si>
  <si>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</si>
  <si>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</si>
  <si>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</si>
  <si>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</si>
  <si>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</si>
  <si>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</si>
  <si>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</si>
  <si>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</si>
  <si>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</si>
  <si>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</si>
  <si>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</si>
  <si>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</si>
  <si>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</si>
  <si>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</si>
  <si>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</si>
  <si>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</si>
  <si>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</si>
  <si>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</si>
  <si>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</si>
  <si>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</si>
  <si>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</si>
  <si>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</si>
  <si>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</si>
  <si>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</si>
  <si>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</si>
  <si>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</si>
  <si>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</si>
  <si>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</si>
  <si>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</si>
  <si>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</si>
  <si>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</si>
  <si>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</si>
  <si>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</si>
  <si>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</si>
  <si>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</si>
  <si>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</si>
  <si>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</si>
  <si>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</si>
  <si>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</si>
  <si>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</si>
  <si>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</si>
  <si>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</si>
  <si>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</si>
  <si>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</si>
  <si>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</si>
  <si>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</si>
  <si>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</si>
  <si>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</si>
  <si>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</si>
  <si>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</si>
  <si>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</si>
  <si>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</si>
  <si>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</si>
  <si>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</si>
  <si>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</si>
  <si>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</si>
  <si>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</si>
  <si>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</si>
  <si>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</si>
  <si>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</si>
  <si>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</si>
  <si>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</si>
  <si>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</si>
  <si>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</si>
  <si>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</si>
  <si>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</si>
  <si>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</si>
  <si>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</si>
  <si>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</si>
  <si>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Fitch (upgrade)</t>
  </si>
  <si>
    <t>Fitch (downgrade)</t>
  </si>
  <si>
    <t>Moody's (upgrade)</t>
  </si>
  <si>
    <t>Moody's (downgrade)</t>
  </si>
  <si>
    <t>Standard &amp; Poor's (upgrade)</t>
  </si>
  <si>
    <t>Standard &amp; Poor's (downgrade)</t>
  </si>
  <si>
    <t>.</t>
  </si>
  <si>
    <t>Fitch (activity)</t>
  </si>
  <si>
    <t>Moody's (activity)</t>
  </si>
  <si>
    <t>Standard &amp; Poor's (activity)</t>
  </si>
  <si>
    <t>Annual Activity</t>
  </si>
  <si>
    <t>Quarterly Upgrade</t>
  </si>
  <si>
    <t>Quarterly Downgrade</t>
  </si>
  <si>
    <t>Quarterly Activity</t>
  </si>
  <si>
    <t>Annual Upgrade</t>
  </si>
  <si>
    <t>Annual Downgrade</t>
  </si>
  <si>
    <t>III.  Total Ratings Actions</t>
  </si>
  <si>
    <t>Rating Agency Activity</t>
  </si>
  <si>
    <t>U.S. Investor-Owned Electric Utility Industry</t>
  </si>
  <si>
    <t>Total Rating Activity</t>
  </si>
  <si>
    <t>Fitch</t>
  </si>
  <si>
    <t xml:space="preserve">Moody's </t>
  </si>
  <si>
    <t>Standard &amp; Poor's</t>
  </si>
  <si>
    <t xml:space="preserve">Total </t>
  </si>
  <si>
    <t>IV.  Direction of Ratings Actions</t>
  </si>
  <si>
    <t>Direction of Ratings Actions</t>
  </si>
  <si>
    <t>Upgrades</t>
  </si>
  <si>
    <t>Downgrades</t>
  </si>
  <si>
    <t>% Upgrades</t>
  </si>
  <si>
    <t>Upgrades = Downgrades</t>
  </si>
  <si>
    <t>Source: Fitch Ratings, Moody's, Standard &amp; Poor's</t>
  </si>
  <si>
    <t>V.  S&amp;P Ratings by Category</t>
  </si>
  <si>
    <t>S&amp;P Utility Credit Rating Distribution by Category</t>
  </si>
  <si>
    <t>'Credit_2012Q4'</t>
  </si>
  <si>
    <t>'Credit_2013Q4'</t>
  </si>
  <si>
    <t>'Credit_2014Q4'</t>
  </si>
  <si>
    <t>'Credit_2015Q4'</t>
  </si>
  <si>
    <t>'Credit_2016Q4'</t>
  </si>
  <si>
    <t>'Credit_2017Q4'</t>
  </si>
  <si>
    <t>'Credit_2018Q4'</t>
  </si>
  <si>
    <t>'Credit_2019Q4'</t>
  </si>
  <si>
    <t>'Credit_2020Q4'</t>
  </si>
  <si>
    <t>'Credit_2021Q4'</t>
  </si>
  <si>
    <t>12/31/2007r</t>
  </si>
  <si>
    <t>12/31/2008r</t>
  </si>
  <si>
    <t>b6</t>
  </si>
  <si>
    <t>#</t>
  </si>
  <si>
    <t>%</t>
  </si>
  <si>
    <t>Regulated</t>
  </si>
  <si>
    <t>A or higher</t>
  </si>
  <si>
    <t>o</t>
  </si>
  <si>
    <t>A-</t>
  </si>
  <si>
    <t>BBB+</t>
  </si>
  <si>
    <t>BBB</t>
  </si>
  <si>
    <t>BBB-</t>
  </si>
  <si>
    <t>Below BBB-</t>
  </si>
  <si>
    <t>Total</t>
  </si>
  <si>
    <t>Mostly Regulated</t>
  </si>
  <si>
    <t>r</t>
  </si>
  <si>
    <t>Diversified</t>
  </si>
  <si>
    <t>u</t>
  </si>
  <si>
    <t>Sources:  Standard &amp; Poor's, S&amp;P Global Market Intelligence, and EEI Finance Dept.</t>
  </si>
  <si>
    <t>Credit Ratings Scales</t>
  </si>
  <si>
    <t>Investment Grade</t>
  </si>
  <si>
    <t>MOODY'S</t>
  </si>
  <si>
    <t>S&amp;P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</si>
  <si>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</si>
  <si>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</si>
  <si>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</si>
  <si>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</si>
  <si>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</si>
  <si>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</si>
  <si>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</si>
  <si>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</si>
  <si>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</si>
  <si>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</si>
  <si>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</si>
  <si>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</si>
  <si>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</t>
  </si>
  <si>
    <t>A3</t>
  </si>
  <si>
    <t>Baa1</t>
  </si>
  <si>
    <t>Baa2</t>
  </si>
  <si>
    <t>Baa3</t>
  </si>
  <si>
    <t>Speculative Grade</t>
  </si>
  <si>
    <t>Ba1</t>
  </si>
  <si>
    <t>BB+</t>
  </si>
  <si>
    <t>Ba2</t>
  </si>
  <si>
    <t>BB</t>
  </si>
  <si>
    <t>Ba3</t>
  </si>
  <si>
    <t>BB-</t>
  </si>
  <si>
    <t>B1</t>
  </si>
  <si>
    <t>B+</t>
  </si>
  <si>
    <t>B2</t>
  </si>
  <si>
    <t>B</t>
  </si>
  <si>
    <t>B3</t>
  </si>
  <si>
    <t>B-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</si>
  <si>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</si>
  <si>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</si>
  <si>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</si>
  <si>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</si>
  <si>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</si>
  <si>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</si>
  <si>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</si>
  <si>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</si>
  <si>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</si>
  <si>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</si>
  <si>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D</t>
  </si>
  <si>
    <t>e3</t>
  </si>
  <si>
    <t>Group</t>
  </si>
  <si>
    <t>Up</t>
  </si>
  <si>
    <t>Down</t>
  </si>
  <si>
    <t>Match</t>
  </si>
  <si>
    <t>Previous</t>
  </si>
  <si>
    <t>Comparison Period</t>
  </si>
  <si>
    <t>Reg_Percent_2020</t>
  </si>
  <si>
    <t>R</t>
  </si>
  <si>
    <t>MR</t>
  </si>
  <si>
    <t>d:d</t>
  </si>
  <si>
    <t>b1</t>
  </si>
  <si>
    <t>c1</t>
  </si>
  <si>
    <t>e1</t>
  </si>
  <si>
    <t>Category</t>
  </si>
  <si>
    <t>Rating</t>
  </si>
  <si>
    <t>'Credit_2021Q3'!</t>
  </si>
  <si>
    <t>Company Name</t>
  </si>
  <si>
    <t>2021 Q4</t>
  </si>
  <si>
    <t>Score</t>
  </si>
  <si>
    <t>Berkshire Energy Holdings Company</t>
  </si>
  <si>
    <t>**BRK</t>
  </si>
  <si>
    <t>ALLETE, Inc.</t>
  </si>
  <si>
    <t>ALE</t>
  </si>
  <si>
    <t>Alliant Energy Corporation</t>
  </si>
  <si>
    <t>LNT</t>
  </si>
  <si>
    <t>&gt;20</t>
  </si>
  <si>
    <t>American Electric Power Company, Inc.</t>
  </si>
  <si>
    <t>AEP</t>
  </si>
  <si>
    <t>=20</t>
  </si>
  <si>
    <t>Ameren Corporation</t>
  </si>
  <si>
    <t>AEE</t>
  </si>
  <si>
    <t>Consolidated Edison, Inc.</t>
  </si>
  <si>
    <t>ED</t>
  </si>
  <si>
    <t>=19</t>
  </si>
  <si>
    <t>Evergy, Inc.</t>
  </si>
  <si>
    <t>EVRG</t>
  </si>
  <si>
    <t>=18</t>
  </si>
  <si>
    <t>AVANGRID, Inc.</t>
  </si>
  <si>
    <t>AGR</t>
  </si>
  <si>
    <t>Eversource Energy</t>
  </si>
  <si>
    <t>ES</t>
  </si>
  <si>
    <t>=17</t>
  </si>
  <si>
    <t>Avista Corporation</t>
  </si>
  <si>
    <t>AVA</t>
  </si>
  <si>
    <t>NextEra Energy, Inc.</t>
  </si>
  <si>
    <t>NEE</t>
  </si>
  <si>
    <t>&lt;17</t>
  </si>
  <si>
    <t>PPL Corporation</t>
  </si>
  <si>
    <t>PPL</t>
  </si>
  <si>
    <t>Black Hills Corporation</t>
  </si>
  <si>
    <t>BKH</t>
  </si>
  <si>
    <t>Wisconsin Energy Corporation</t>
  </si>
  <si>
    <t>WEC</t>
  </si>
  <si>
    <t>CenterPoint Energy, Inc.</t>
  </si>
  <si>
    <t>CNP</t>
  </si>
  <si>
    <t>Xcel Energy Inc.</t>
  </si>
  <si>
    <t>XEL</t>
  </si>
  <si>
    <t>Average Rating</t>
  </si>
  <si>
    <t>Cleco Corporation</t>
  </si>
  <si>
    <t>**CNL</t>
  </si>
  <si>
    <t>CMS Energy Corporation</t>
  </si>
  <si>
    <t>CMS</t>
  </si>
  <si>
    <t>Dominion Energy, Inc.</t>
  </si>
  <si>
    <t>DPL Inc.</t>
  </si>
  <si>
    <t>**DPL</t>
  </si>
  <si>
    <t>DTE Energy Company</t>
  </si>
  <si>
    <t>DTE</t>
  </si>
  <si>
    <t>Duke Energy Corporation</t>
  </si>
  <si>
    <t>DUK</t>
  </si>
  <si>
    <t>Edison International</t>
  </si>
  <si>
    <t>EIX</t>
  </si>
  <si>
    <t>Entergy Corporation</t>
  </si>
  <si>
    <t>ETR</t>
  </si>
  <si>
    <t>Exelon Corporation</t>
  </si>
  <si>
    <t>EXC</t>
  </si>
  <si>
    <t>MDU Resources Group, Inc.</t>
  </si>
  <si>
    <t>MDU</t>
  </si>
  <si>
    <t>NiSource Inc.</t>
  </si>
  <si>
    <t>NI</t>
  </si>
  <si>
    <t>FirstEnergy Corp.</t>
  </si>
  <si>
    <t>FE</t>
  </si>
  <si>
    <t>OGE Energy Corp.</t>
  </si>
  <si>
    <t>OGE</t>
  </si>
  <si>
    <t>Hawaiian Electric Industries, Inc.</t>
  </si>
  <si>
    <t>HE</t>
  </si>
  <si>
    <t>Pinnacle West Capital Corporation</t>
  </si>
  <si>
    <t>PNW</t>
  </si>
  <si>
    <t>IDACORP, Inc.</t>
  </si>
  <si>
    <t>IDA</t>
  </si>
  <si>
    <t>Portland General Electric Company</t>
  </si>
  <si>
    <t>POR</t>
  </si>
  <si>
    <t>IPALCO Enterprises, Inc.</t>
  </si>
  <si>
    <t>**IPALCO</t>
  </si>
  <si>
    <t>Public Service Enterprise Group Incorporated</t>
  </si>
  <si>
    <t>PEG</t>
  </si>
  <si>
    <t>Sempra Energy</t>
  </si>
  <si>
    <t>SRE</t>
  </si>
  <si>
    <t>Southern Company</t>
  </si>
  <si>
    <t>SO</t>
  </si>
  <si>
    <t>Unitil Corporation</t>
  </si>
  <si>
    <t>UTL</t>
  </si>
  <si>
    <t>NorthWestern Corporation</t>
  </si>
  <si>
    <t>NWE</t>
  </si>
  <si>
    <t>Otter Tail Corporation</t>
  </si>
  <si>
    <t>OTTR</t>
  </si>
  <si>
    <t>PG&amp;E Corporation</t>
  </si>
  <si>
    <t>PCG</t>
  </si>
  <si>
    <t>PNM Resources, Inc.</t>
  </si>
  <si>
    <t>PNM</t>
  </si>
  <si>
    <t>Puget Energy, Inc.</t>
  </si>
  <si>
    <t>**PSD</t>
  </si>
  <si>
    <t>Source:  Standard &amp; Poor's, S&amp;P Global Market Intelligence, and EEI Finance Dept.</t>
  </si>
  <si>
    <t>MGE Energy, Inc.</t>
  </si>
  <si>
    <t>*MGEE</t>
  </si>
  <si>
    <t/>
  </si>
  <si>
    <t xml:space="preserve">Average </t>
  </si>
  <si>
    <t xml:space="preserve">Notes: </t>
  </si>
  <si>
    <t>* For the following companies, EEI includes the subsidiary rating because parent/holding company ratings are not available:</t>
  </si>
  <si>
    <t>MGE Energy:  Using Madison Gas and Electric Co.; MGE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</si>
  <si>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</si>
  <si>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**Companies that are not publicly traded</t>
  </si>
  <si>
    <t>'Credit_2021Q2'!</t>
  </si>
  <si>
    <t>2021 Q3</t>
  </si>
  <si>
    <t>'Credit_2021Q1'!</t>
  </si>
  <si>
    <t>2021 Q2</t>
  </si>
  <si>
    <t>'Credit_2020Q4'!</t>
  </si>
  <si>
    <t>2021 Q1</t>
  </si>
  <si>
    <t>Reg_Percent_2019</t>
  </si>
  <si>
    <t>'Credit_2020Q3'!</t>
  </si>
  <si>
    <t>2020 Q4</t>
  </si>
  <si>
    <t>'Credit_2020Q2'!</t>
  </si>
  <si>
    <t>2020 Q3</t>
  </si>
  <si>
    <t>El Paso Electric Company</t>
  </si>
  <si>
    <t>'Credit_2020Q1'!</t>
  </si>
  <si>
    <t>2020 Q2</t>
  </si>
  <si>
    <t>EE</t>
  </si>
  <si>
    <t>'Credit_2019Q4'!</t>
  </si>
  <si>
    <t>2020 Q1</t>
  </si>
  <si>
    <t>Reg_Percent_2018</t>
  </si>
  <si>
    <t>'Credit_2019Q3'!</t>
  </si>
  <si>
    <t>2019 Q4</t>
  </si>
  <si>
    <t>'Credit_2019Q2'!</t>
  </si>
  <si>
    <t>2019 Q3</t>
  </si>
  <si>
    <t>'Credit_2019Q1'!</t>
  </si>
  <si>
    <t>2019 Q2</t>
  </si>
  <si>
    <t>'Credit_2018Q4'!</t>
  </si>
  <si>
    <t>2019 Q1</t>
  </si>
  <si>
    <t>Reg_Percent_2017</t>
  </si>
  <si>
    <t>'Credit_2018Q3'!</t>
  </si>
  <si>
    <t>Vectren Corporation</t>
  </si>
  <si>
    <t>VVC</t>
  </si>
  <si>
    <t>SCANA Corporation</t>
  </si>
  <si>
    <t>SCG</t>
  </si>
  <si>
    <t>'Credit_2018Q2'!</t>
  </si>
  <si>
    <t>'Credit_2018Q1'!</t>
  </si>
  <si>
    <t>'Credit_2017Q4'!</t>
  </si>
  <si>
    <t>Great Plains Energy Inc.</t>
  </si>
  <si>
    <t>GXP</t>
  </si>
  <si>
    <t>Westar Energy, Inc.</t>
  </si>
  <si>
    <t>WR</t>
  </si>
  <si>
    <t>Reg_Percent_2016</t>
  </si>
  <si>
    <t>'Credit_2017Q3'!</t>
  </si>
  <si>
    <t>Oncor Electric Delivery Company LLC</t>
  </si>
  <si>
    <t>**EFH</t>
  </si>
  <si>
    <t>'Credit_2017Q2'!</t>
  </si>
  <si>
    <t>Dominion Resources, Inc.</t>
  </si>
  <si>
    <t>**ONC</t>
  </si>
  <si>
    <t>'Credit_2017Q1'!</t>
  </si>
  <si>
    <t>'Credit_2016Q4'!</t>
  </si>
  <si>
    <t>Reg_Percent_2015</t>
  </si>
  <si>
    <t>'Credit_2016Q3'!</t>
  </si>
  <si>
    <t>Empire District Electric Company</t>
  </si>
  <si>
    <t>EDE</t>
  </si>
  <si>
    <t>TECO Energy, Inc.</t>
  </si>
  <si>
    <t>**TE</t>
  </si>
  <si>
    <t>Energy Future Holdings Corp.</t>
  </si>
  <si>
    <t>'Credit_2016Q2'!</t>
  </si>
  <si>
    <t>Source:  Standard &amp; Poor's, SNL Financial and EEI Finance Dept.</t>
  </si>
  <si>
    <t>'Credit_2016Q1'!</t>
  </si>
  <si>
    <t>TE</t>
  </si>
  <si>
    <t>*UTL</t>
  </si>
  <si>
    <t>'Credit_2015Q4'!</t>
  </si>
  <si>
    <t>CNL</t>
  </si>
  <si>
    <t>Reg_Percent_2014</t>
  </si>
  <si>
    <t>'Credit_2015Q3'!</t>
  </si>
  <si>
    <t xml:space="preserve">AVANGRID, Inc. </t>
  </si>
  <si>
    <t>Pepco Holdings, Inc.</t>
  </si>
  <si>
    <t>POM</t>
  </si>
  <si>
    <t>*MGE Energy, Inc.</t>
  </si>
  <si>
    <t>'Credit_2015Q2'!</t>
  </si>
  <si>
    <t>WEC Energy Group, Inc.</t>
  </si>
  <si>
    <t>Iberdrola USA</t>
  </si>
  <si>
    <t>**EAST</t>
  </si>
  <si>
    <t>UIL Holdings Corporation</t>
  </si>
  <si>
    <t>UIL</t>
  </si>
  <si>
    <t>Reg_Percent_2013</t>
  </si>
  <si>
    <t>'Credit_2015Q1'!</t>
  </si>
  <si>
    <t>'Credit_2014Q4'!</t>
  </si>
  <si>
    <t>Eversource</t>
  </si>
  <si>
    <t>Integrys Energy Group, Inc.</t>
  </si>
  <si>
    <t>TEG</t>
  </si>
  <si>
    <t>'Credit_2014Q3'!</t>
  </si>
  <si>
    <t>'Credit_2014Q2'!</t>
  </si>
  <si>
    <t>*UNS Energy Corporation</t>
  </si>
  <si>
    <t>*UNS</t>
  </si>
  <si>
    <t>*Unitil Corporation</t>
  </si>
  <si>
    <t>UNS Energy Corporation</t>
  </si>
  <si>
    <t>UNS Energy:  Using Tucson Electric Power Co.; UniSource Energy long-term issuer credit rating not available.</t>
  </si>
  <si>
    <t>'Credit_2014Q1'!</t>
  </si>
  <si>
    <t>Reg_Percent_2012</t>
  </si>
  <si>
    <t>a:a</t>
  </si>
  <si>
    <t>'Credit_2013Q4'!</t>
  </si>
  <si>
    <t>MidAmerican Energy Holdings Company</t>
  </si>
  <si>
    <t>'Credit_2013Q3'!</t>
  </si>
  <si>
    <t>'Credit_2013Q2'!</t>
  </si>
  <si>
    <t>NV Energy, Inc.</t>
  </si>
  <si>
    <t>NVE</t>
  </si>
  <si>
    <t>'Credit_2013Q1'!</t>
  </si>
  <si>
    <t>Reg_Percent_2011</t>
  </si>
  <si>
    <t>'Credit_2012Q4'!</t>
  </si>
  <si>
    <t>*CH Energy Group, Inc.</t>
  </si>
  <si>
    <t>*CHG</t>
  </si>
  <si>
    <t>CH Energy Group, Inc.</t>
  </si>
  <si>
    <t>CH Energy Group:  Using Central Hudson Gas &amp; Electric Corp.; CH Energy Group long-term issuer credit rating not available.</t>
  </si>
  <si>
    <t>'Credit_2012Q3'!</t>
  </si>
  <si>
    <t>SD</t>
  </si>
  <si>
    <t>'Credit_2012Q2'!</t>
  </si>
  <si>
    <t>N.A.</t>
  </si>
  <si>
    <t>Central Vermont Public Service Corporation</t>
  </si>
  <si>
    <t>CV</t>
  </si>
  <si>
    <t>'Credit_2012Q1'!</t>
  </si>
  <si>
    <t>Progress Energy, Inc.</t>
  </si>
  <si>
    <t>PGN</t>
  </si>
  <si>
    <t>Reg_Percent_2010</t>
  </si>
  <si>
    <t>'Credit_2011Q4'!</t>
  </si>
  <si>
    <t>NSTAR</t>
  </si>
  <si>
    <t>NST</t>
  </si>
  <si>
    <t>I.  S&amp;P Utility Credit Ratings Distribution -- Q4 2011</t>
  </si>
  <si>
    <t>% regulated at</t>
  </si>
  <si>
    <t>Cat. Avg.</t>
  </si>
  <si>
    <t>Q4 2011</t>
  </si>
  <si>
    <t>KeySpan Corp.</t>
  </si>
  <si>
    <t>KEY</t>
  </si>
  <si>
    <t>Niagara Mohawk Power Corporation</t>
  </si>
  <si>
    <t>NIMO</t>
  </si>
  <si>
    <t>AES</t>
  </si>
  <si>
    <t>Kentucky Utilities Company</t>
  </si>
  <si>
    <t>KU</t>
  </si>
  <si>
    <t>Louisville Gas and Electric Company</t>
  </si>
  <si>
    <t>LGE</t>
  </si>
  <si>
    <t>Green Mountain Power Corporation</t>
  </si>
  <si>
    <t>GMT</t>
  </si>
  <si>
    <t>AYE</t>
  </si>
  <si>
    <t>Duquesne Light Company</t>
  </si>
  <si>
    <t>DQE</t>
  </si>
  <si>
    <t>BRK</t>
  </si>
  <si>
    <t>CEG</t>
  </si>
  <si>
    <t>CHG</t>
  </si>
  <si>
    <t>DPL</t>
  </si>
  <si>
    <t>EAST</t>
  </si>
  <si>
    <t>PSD</t>
  </si>
  <si>
    <t>EFH</t>
  </si>
  <si>
    <t>UniSource Energy Corporation*</t>
  </si>
  <si>
    <t>UNS</t>
  </si>
  <si>
    <t>Energy East Corporation</t>
  </si>
  <si>
    <t>MGEE</t>
  </si>
  <si>
    <t>CH Energy Group, Inc.*</t>
  </si>
  <si>
    <t>Constellation Energy Group, Inc.</t>
  </si>
  <si>
    <t>MGE Energy, Inc.*</t>
  </si>
  <si>
    <t>Allegheny Energy, Inc.</t>
  </si>
  <si>
    <t>UniSource Energy:  Using Tucson Electric Power Co.; UniSource Energy long-term issuer credit rating not available.</t>
  </si>
  <si>
    <t>I.  S&amp;P Utility Credit Ratings Distribution -- Q3 2011</t>
  </si>
  <si>
    <t>Q3 2011</t>
  </si>
  <si>
    <t>I.  S&amp;P Utility Credit Ratings Distribution -- Q2 2011</t>
  </si>
  <si>
    <t>Q2 2011</t>
  </si>
  <si>
    <t>I.  S&amp;P Utility Credit Ratings Distribution -- Q1 2011</t>
  </si>
  <si>
    <t>Q1 2011</t>
  </si>
  <si>
    <t>I.  S&amp;P Utility Credit Ratings Distribution -- Q4 2010</t>
  </si>
  <si>
    <t>Chg.</t>
  </si>
  <si>
    <t>Q4 2010</t>
  </si>
  <si>
    <t>MAM</t>
  </si>
  <si>
    <t>I.  S&amp;P Utility Credit Ratings Distribution -- Q4 2009</t>
  </si>
  <si>
    <t>Q4 2009</t>
  </si>
  <si>
    <t>FPL Group, Inc.</t>
  </si>
  <si>
    <t>Maine &amp; Maritimes Corporation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</si>
  <si>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</si>
  <si>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</si>
  <si>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I.  S&amp;P Utility Credit Ratings Distribution -- 2008r</t>
  </si>
  <si>
    <t>2008r</t>
  </si>
  <si>
    <t>PG&amp;E Corporation*</t>
  </si>
  <si>
    <t>Sierra Pacific Resources</t>
  </si>
  <si>
    <t>N/A</t>
  </si>
  <si>
    <t>CH Energy Group:  Using Central Hudson Gas &amp; Electric Corp.; CH Energy Group long-term issuer credit rating not available as of 12/31/08.</t>
  </si>
  <si>
    <t>PG&amp;E:  Using Pacific Gas and Electric Co.; PG&amp;E long-term issuer credit rating not available as of 12/31/08.</t>
  </si>
  <si>
    <t>UniSource Energy:  Using Tucson Electric Power Co.; UniSource Energy long-term issuer credit rating not available as of 12/31/08.</t>
  </si>
  <si>
    <t>I.  S&amp;P Utility Credit Ratings Distribution -- 2007r</t>
  </si>
  <si>
    <t>2007r</t>
  </si>
  <si>
    <t>Aquila, Inc.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</si>
  <si>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</si>
  <si>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</si>
  <si>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</si>
  <si>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I. S&amp;P Utility Credit Ratings Distribution - 2006</t>
  </si>
  <si>
    <t>WPS Resources Corporation</t>
  </si>
  <si>
    <t>Constellation Energy, Inc.</t>
  </si>
  <si>
    <t>Kentucky Utilities</t>
  </si>
  <si>
    <t>Louisville Gas &amp; Electric</t>
  </si>
  <si>
    <t>American Electric Power Company</t>
  </si>
  <si>
    <t>Source: Standard &amp; Poor's, SNL Financial</t>
  </si>
  <si>
    <t>Duquesne Light Holdings, Inc.</t>
  </si>
  <si>
    <t>Great Plains Energy, Inc.</t>
  </si>
  <si>
    <t>Progress Energy Inc.</t>
  </si>
  <si>
    <t>Xcel Energy, Inc.</t>
  </si>
  <si>
    <t>TXU Corp.</t>
  </si>
  <si>
    <t>UniSource Energy Corporation</t>
  </si>
  <si>
    <t>MGE Energy</t>
  </si>
  <si>
    <t xml:space="preserve">Note: 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</si>
  <si>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</si>
  <si>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</si>
  <si>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</si>
  <si>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 xml:space="preserve">Cinergy Corp and Pacificorp are no longer part of the EEI Index.  Numbers based on 64+4 companies.  </t>
  </si>
  <si>
    <t>I. S&amp;P Utility Credit Ratings Distribution - 2001</t>
  </si>
  <si>
    <t>2001 Y</t>
  </si>
  <si>
    <t>Ameren Corp</t>
  </si>
  <si>
    <t>IDACORP Inc</t>
  </si>
  <si>
    <t>Otter Tail Power</t>
  </si>
  <si>
    <t>WPS Resources</t>
  </si>
  <si>
    <t>Duke Energy</t>
  </si>
  <si>
    <t>New England Power</t>
  </si>
  <si>
    <t>Niagara Mohawk Power Corp</t>
  </si>
  <si>
    <t>Allegheny Energy</t>
  </si>
  <si>
    <t>Southern Co</t>
  </si>
  <si>
    <t>Consolidated Edison</t>
  </si>
  <si>
    <t>CH Energy Group</t>
  </si>
  <si>
    <t>Keyspan</t>
  </si>
  <si>
    <t>FPL Group</t>
  </si>
  <si>
    <t>TECO Energy</t>
  </si>
  <si>
    <t>Constellation Energy</t>
  </si>
  <si>
    <t>Empire District</t>
  </si>
  <si>
    <t>Pacificorp</t>
  </si>
  <si>
    <t>RGS Energy Group, Inc.</t>
  </si>
  <si>
    <t>Xcel Energy</t>
  </si>
  <si>
    <t>Wisconsin Energy</t>
  </si>
  <si>
    <t>Exelon</t>
  </si>
  <si>
    <t>Vectren</t>
  </si>
  <si>
    <t>Alliant Energy</t>
  </si>
  <si>
    <t>OGE Energy Corp</t>
  </si>
  <si>
    <t>American Electric Power</t>
  </si>
  <si>
    <t>MDU Resources</t>
  </si>
  <si>
    <t>Great Plains Energy</t>
  </si>
  <si>
    <t>Allete</t>
  </si>
  <si>
    <t>Source: Standard &amp; Poor's, SNL Financial, EEI Finance Department, and company annual reports</t>
  </si>
  <si>
    <t>Cinergy</t>
  </si>
  <si>
    <t>Conectiv</t>
  </si>
  <si>
    <t>Dominion Resources</t>
  </si>
  <si>
    <t>DTE Energy</t>
  </si>
  <si>
    <t>Energy East</t>
  </si>
  <si>
    <t>Illinois Power Co</t>
  </si>
  <si>
    <t>Montana Power</t>
  </si>
  <si>
    <t>Northwestern Corp</t>
  </si>
  <si>
    <t>PEPCO</t>
  </si>
  <si>
    <t>Portland General Electric</t>
  </si>
  <si>
    <t>PPL Corp</t>
  </si>
  <si>
    <t>Progress Energy</t>
  </si>
  <si>
    <t>TXU</t>
  </si>
  <si>
    <t>NiSource</t>
  </si>
  <si>
    <t>Hawaiian Electric</t>
  </si>
  <si>
    <t>Black Hills Corp</t>
  </si>
  <si>
    <t>IPALCO Enterprises</t>
  </si>
  <si>
    <t>Pinnacle West Capital</t>
  </si>
  <si>
    <t>Entergy</t>
  </si>
  <si>
    <t>First Energy</t>
  </si>
  <si>
    <t>Public Service Enterprise Group</t>
  </si>
  <si>
    <t>Puget Energy</t>
  </si>
  <si>
    <t>Centr Vermont Pub Serv</t>
  </si>
  <si>
    <t>TNP Enterprises</t>
  </si>
  <si>
    <t xml:space="preserve">BBB- </t>
  </si>
  <si>
    <t>El Paso Electric</t>
  </si>
  <si>
    <t>Green Mtn Power Corp</t>
  </si>
  <si>
    <t>MidAmerican Energy Holdings</t>
  </si>
  <si>
    <t>Avista Corp.</t>
  </si>
  <si>
    <t>Westar Energy Inc.</t>
  </si>
  <si>
    <t>CMS Energy</t>
  </si>
  <si>
    <t>Unisource</t>
  </si>
  <si>
    <t>PG&amp;E</t>
  </si>
  <si>
    <t>Maine Public Service</t>
  </si>
  <si>
    <t>UIL Holdings</t>
  </si>
  <si>
    <t>Average</t>
  </si>
  <si>
    <t>Note:</t>
  </si>
  <si>
    <t>All ratings are at the holding company level with the exception of 4 companies that do not have a credit rating (Maine &amp; Maritimes, MGE Energy, Unitil Corp, &amp; UIL Holdings)</t>
  </si>
  <si>
    <t xml:space="preserve">and 6 companies that do not have a parent level rating in SNL Datasource -- see below.  </t>
  </si>
  <si>
    <t>Unisource - Using Tuscon Electric Power Company credit rating (BB on 11/08/02).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</si>
  <si>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</si>
  <si>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</si>
  <si>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</si>
  <si>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Great Plains Enregy - Using Kansas City Power &amp; Light (A- on 1/2/02). </t>
  </si>
  <si>
    <t xml:space="preserve">PEPCO - Using Potomac Electric Power rating (BBB+ on 7/15/03). </t>
  </si>
  <si>
    <t xml:space="preserve"> </t>
  </si>
  <si>
    <t>Ticker</t>
  </si>
  <si>
    <t>Regulated Percentage</t>
  </si>
  <si>
    <t xml:space="preserve">WEC Energy Group, Inc. </t>
  </si>
  <si>
    <t>Cleco Corporation *</t>
  </si>
  <si>
    <t>DPL Inc. *</t>
  </si>
  <si>
    <t>IPALCO Enterprises, Inc. *</t>
  </si>
  <si>
    <t>Berkshire Hathaway Energy *</t>
  </si>
  <si>
    <t>Puget Energy, Inc. *</t>
  </si>
  <si>
    <t>Energy Future Holdings Corp. *</t>
  </si>
  <si>
    <t>*DPL Inc.</t>
  </si>
  <si>
    <t>*Energy Future Holdings Corp.</t>
  </si>
  <si>
    <t>*Iberdrola USA</t>
  </si>
  <si>
    <t>*IPALCO Enterprises, Inc.</t>
  </si>
  <si>
    <t>*MidAmerican Energy Holdings Company</t>
  </si>
  <si>
    <t>*Puget Energy, Inc.</t>
  </si>
  <si>
    <t>Moody's</t>
  </si>
  <si>
    <t>rating_scale_SP</t>
  </si>
  <si>
    <t>RD</t>
  </si>
  <si>
    <t>rating_scale_Fitch</t>
  </si>
  <si>
    <t>DD</t>
  </si>
  <si>
    <t>D+</t>
  </si>
  <si>
    <t>DDD</t>
  </si>
  <si>
    <t>rating_scale_Moody</t>
  </si>
  <si>
    <t>rating_scale_SP_invest</t>
  </si>
  <si>
    <t>C+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</si>
</sst>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0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4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9" fontId="0" fillId="0" borderId="0" xfId="4" applyFont="1" applyBorder="1"/>
    <xf numFmtId="0" fontId="0" fillId="0" borderId="0" xfId="0" applyAlignment="1">
      <alignment horizontal="center"/>
    </xf>
    <xf numFmtId="9" fontId="0" fillId="0" borderId="0" xfId="4" applyFont="1" applyFill="1" applyBorder="1"/>
    <xf numFmtId="0" fontId="7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10" fillId="0" borderId="0" xfId="0" applyFont="1"/>
    <xf numFmtId="0" fontId="2" fillId="2" borderId="0" xfId="0" applyFont="1" applyFill="1" applyAlignment="1">
      <alignment horizontal="center"/>
    </xf>
    <xf numFmtId="0" fontId="0" fillId="2" borderId="0" xfId="0" applyFill="1"/>
    <xf numFmtId="0" fontId="3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2" fillId="2" borderId="0" xfId="0" quotePrefix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7" fillId="2" borderId="0" xfId="0" applyFont="1" applyFill="1"/>
    <xf numFmtId="0" fontId="3" fillId="2" borderId="0" xfId="0" applyFont="1" applyFill="1"/>
    <xf numFmtId="0" fontId="7" fillId="0" borderId="0" xfId="0" quotePrefix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11" fillId="0" borderId="0" xfId="0" applyFont="1"/>
    <xf numFmtId="0" fontId="8" fillId="0" borderId="0" xfId="0" applyFont="1" applyAlignment="1">
      <alignment horizontal="center"/>
    </xf>
    <xf numFmtId="0" fontId="12" fillId="0" borderId="0" xfId="0" applyFont="1"/>
    <xf numFmtId="0" fontId="8" fillId="0" borderId="0" xfId="0" applyFont="1" applyAlignment="1">
      <alignment horizontal="right"/>
    </xf>
    <xf numFmtId="164" fontId="11" fillId="0" borderId="0" xfId="4" applyNumberFormat="1" applyFont="1" applyFill="1" applyBorder="1"/>
    <xf numFmtId="0" fontId="13" fillId="0" borderId="0" xfId="0" applyFont="1"/>
    <xf numFmtId="0" fontId="22" fillId="0" borderId="0" xfId="0" applyFont="1" applyAlignment="1">
      <alignment horizontal="left"/>
    </xf>
    <xf numFmtId="0" fontId="23" fillId="2" borderId="0" xfId="0" quotePrefix="1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25" fillId="0" borderId="0" xfId="0" applyFont="1"/>
    <xf numFmtId="0" fontId="23" fillId="0" borderId="0" xfId="0" applyFont="1" applyAlignment="1">
      <alignment horizontal="left"/>
    </xf>
    <xf numFmtId="2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2" fillId="0" borderId="0" xfId="0" applyFont="1" applyAlignment="1">
      <alignment horizontal="centerContinuous"/>
    </xf>
    <xf numFmtId="0" fontId="26" fillId="0" borderId="0" xfId="0" applyFont="1"/>
    <xf numFmtId="0" fontId="22" fillId="0" borderId="0" xfId="0" applyFont="1"/>
    <xf numFmtId="9" fontId="22" fillId="0" borderId="0" xfId="4" applyFont="1" applyBorder="1"/>
    <xf numFmtId="0" fontId="23" fillId="0" borderId="0" xfId="0" applyFont="1"/>
    <xf numFmtId="9" fontId="23" fillId="0" borderId="0" xfId="4" applyFont="1" applyBorder="1"/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Continuous"/>
    </xf>
    <xf numFmtId="0" fontId="22" fillId="0" borderId="1" xfId="0" applyFont="1" applyBorder="1"/>
    <xf numFmtId="9" fontId="22" fillId="0" borderId="1" xfId="4" applyFont="1" applyBorder="1"/>
    <xf numFmtId="0" fontId="22" fillId="0" borderId="1" xfId="0" applyFont="1" applyBorder="1" applyAlignment="1">
      <alignment horizontal="center"/>
    </xf>
    <xf numFmtId="9" fontId="22" fillId="0" borderId="0" xfId="4" applyFont="1"/>
    <xf numFmtId="9" fontId="22" fillId="0" borderId="0" xfId="4" applyFont="1" applyFill="1"/>
    <xf numFmtId="9" fontId="22" fillId="0" borderId="0" xfId="4" applyFont="1" applyBorder="1" applyAlignment="1">
      <alignment horizontal="center"/>
    </xf>
    <xf numFmtId="9" fontId="22" fillId="5" borderId="0" xfId="4" applyFont="1" applyFill="1" applyBorder="1" applyAlignment="1">
      <alignment horizontal="center"/>
    </xf>
    <xf numFmtId="9" fontId="22" fillId="0" borderId="0" xfId="4" applyFont="1" applyFill="1" applyBorder="1" applyAlignment="1">
      <alignment horizontal="centerContinuous"/>
    </xf>
    <xf numFmtId="9" fontId="22" fillId="0" borderId="1" xfId="4" applyFont="1" applyFill="1" applyBorder="1" applyAlignment="1">
      <alignment horizontal="centerContinuous"/>
    </xf>
    <xf numFmtId="14" fontId="24" fillId="2" borderId="0" xfId="0" applyNumberFormat="1" applyFont="1" applyFill="1" applyAlignment="1">
      <alignment horizontal="center"/>
    </xf>
    <xf numFmtId="14" fontId="24" fillId="0" borderId="0" xfId="0" applyNumberFormat="1" applyFont="1" applyAlignment="1">
      <alignment horizontal="center"/>
    </xf>
    <xf numFmtId="164" fontId="0" fillId="0" borderId="0" xfId="0" applyNumberFormat="1"/>
    <xf numFmtId="0" fontId="2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9" fontId="22" fillId="0" borderId="0" xfId="4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Continuous"/>
    </xf>
    <xf numFmtId="10" fontId="22" fillId="0" borderId="1" xfId="4" applyNumberFormat="1" applyFont="1" applyFill="1" applyBorder="1" applyAlignment="1">
      <alignment horizontal="centerContinuous"/>
    </xf>
    <xf numFmtId="0" fontId="27" fillId="0" borderId="0" xfId="0" applyFont="1" applyAlignment="1">
      <alignment horizontal="left"/>
    </xf>
    <xf numFmtId="9" fontId="0" fillId="0" borderId="0" xfId="0" applyNumberFormat="1"/>
    <xf numFmtId="165" fontId="0" fillId="0" borderId="0" xfId="0" applyNumberFormat="1"/>
    <xf numFmtId="0" fontId="28" fillId="4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7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5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7" fillId="0" borderId="0" xfId="0" applyFont="1" applyAlignment="1">
      <alignment horizontal="left" indent="1"/>
    </xf>
    <xf numFmtId="164" fontId="0" fillId="0" borderId="0" xfId="0" applyNumberFormat="1" applyAlignment="1">
      <alignment horizontal="left" indent="1"/>
    </xf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9" fontId="22" fillId="0" borderId="2" xfId="4" applyFont="1" applyBorder="1" applyAlignment="1">
      <alignment horizontal="center"/>
    </xf>
    <xf numFmtId="0" fontId="34" fillId="0" borderId="0" xfId="1" applyFont="1" applyBorder="1" applyAlignment="1" applyProtection="1"/>
    <xf numFmtId="166" fontId="22" fillId="0" borderId="0" xfId="0" applyNumberFormat="1" applyFont="1"/>
    <xf numFmtId="10" fontId="22" fillId="0" borderId="0" xfId="4" applyNumberFormat="1" applyFont="1"/>
    <xf numFmtId="0" fontId="22" fillId="8" borderId="0" xfId="0" applyFont="1" applyFill="1" applyAlignment="1">
      <alignment horizontal="left"/>
    </xf>
    <xf numFmtId="0" fontId="22" fillId="8" borderId="0" xfId="0" applyFont="1" applyFill="1" applyAlignment="1">
      <alignment horizontal="center"/>
    </xf>
    <xf numFmtId="9" fontId="22" fillId="8" borderId="0" xfId="4" applyFont="1" applyFill="1" applyBorder="1" applyAlignment="1">
      <alignment horizontal="center"/>
    </xf>
    <xf numFmtId="0" fontId="22" fillId="9" borderId="2" xfId="0" applyFont="1" applyFill="1" applyBorder="1" applyAlignment="1">
      <alignment horizontal="left"/>
    </xf>
    <xf numFmtId="0" fontId="22" fillId="9" borderId="2" xfId="0" applyFont="1" applyFill="1" applyBorder="1" applyAlignment="1">
      <alignment horizontal="center"/>
    </xf>
    <xf numFmtId="9" fontId="22" fillId="9" borderId="2" xfId="4" applyFont="1" applyFill="1" applyBorder="1" applyAlignment="1">
      <alignment horizontal="center"/>
    </xf>
    <xf numFmtId="0" fontId="23" fillId="0" borderId="9" xfId="0" quotePrefix="1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0" fillId="0" borderId="10" xfId="0" applyBorder="1"/>
    <xf numFmtId="14" fontId="24" fillId="0" borderId="11" xfId="0" applyNumberFormat="1" applyFont="1" applyBorder="1" applyAlignment="1">
      <alignment horizontal="center"/>
    </xf>
    <xf numFmtId="0" fontId="22" fillId="5" borderId="2" xfId="0" applyFont="1" applyFill="1" applyBorder="1" applyAlignment="1">
      <alignment horizontal="left"/>
    </xf>
    <xf numFmtId="0" fontId="22" fillId="9" borderId="0" xfId="0" applyFont="1" applyFill="1" applyAlignment="1">
      <alignment horizontal="left"/>
    </xf>
    <xf numFmtId="0" fontId="22" fillId="5" borderId="2" xfId="0" applyFont="1" applyFill="1" applyBorder="1" applyAlignment="1">
      <alignment horizontal="center"/>
    </xf>
    <xf numFmtId="0" fontId="22" fillId="9" borderId="0" xfId="0" applyFont="1" applyFill="1" applyAlignment="1">
      <alignment horizontal="center"/>
    </xf>
    <xf numFmtId="9" fontId="22" fillId="5" borderId="2" xfId="4" applyFont="1" applyFill="1" applyBorder="1" applyAlignment="1">
      <alignment horizontal="center"/>
    </xf>
    <xf numFmtId="9" fontId="22" fillId="9" borderId="0" xfId="4" applyFont="1" applyFill="1" applyBorder="1" applyAlignment="1">
      <alignment horizontal="center"/>
    </xf>
    <xf numFmtId="9" fontId="22" fillId="0" borderId="1" xfId="4" applyFont="1" applyFill="1" applyBorder="1" applyAlignment="1">
      <alignment horizontal="center"/>
    </xf>
    <xf numFmtId="9" fontId="22" fillId="0" borderId="2" xfId="4" applyFont="1" applyFill="1" applyBorder="1" applyAlignment="1">
      <alignment horizontal="center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9" fontId="22" fillId="0" borderId="12" xfId="4" applyFont="1" applyFill="1" applyBorder="1" applyAlignment="1">
      <alignment horizontal="center"/>
    </xf>
    <xf numFmtId="0" fontId="35" fillId="10" borderId="0" xfId="0" applyFont="1" applyFill="1" applyAlignment="1">
      <alignment horizontal="left"/>
    </xf>
    <xf numFmtId="0" fontId="35" fillId="10" borderId="0" xfId="0" applyFont="1" applyFill="1" applyAlignment="1">
      <alignment horizontal="center"/>
    </xf>
    <xf numFmtId="9" fontId="35" fillId="10" borderId="0" xfId="4" applyFont="1" applyFill="1" applyBorder="1" applyAlignment="1">
      <alignment horizontal="center"/>
    </xf>
    <xf numFmtId="0" fontId="35" fillId="11" borderId="0" xfId="0" applyFont="1" applyFill="1" applyAlignment="1">
      <alignment horizontal="left"/>
    </xf>
    <xf numFmtId="0" fontId="35" fillId="11" borderId="0" xfId="0" applyFont="1" applyFill="1" applyAlignment="1">
      <alignment horizontal="center"/>
    </xf>
    <xf numFmtId="9" fontId="35" fillId="11" borderId="0" xfId="4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4" xfId="0" applyFont="1" applyBorder="1"/>
    <xf numFmtId="0" fontId="36" fillId="0" borderId="5" xfId="0" applyFont="1" applyBorder="1" applyAlignment="1">
      <alignment horizontal="right"/>
    </xf>
    <xf numFmtId="0" fontId="36" fillId="0" borderId="5" xfId="0" applyFont="1" applyBorder="1"/>
    <xf numFmtId="0" fontId="0" fillId="0" borderId="5" xfId="0" applyBorder="1"/>
    <xf numFmtId="0" fontId="5" fillId="0" borderId="6" xfId="0" applyFont="1" applyBorder="1"/>
    <xf numFmtId="0" fontId="36" fillId="0" borderId="3" xfId="0" applyFont="1" applyBorder="1" applyAlignment="1">
      <alignment horizontal="right"/>
    </xf>
    <xf numFmtId="0" fontId="36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1" fillId="0" borderId="5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right"/>
    </xf>
    <xf numFmtId="0" fontId="5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5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29" fillId="4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37" fillId="0" borderId="0" xfId="0" applyFont="1"/>
    <xf numFmtId="9" fontId="11" fillId="0" borderId="0" xfId="0" applyNumberFormat="1" applyFont="1"/>
    <xf numFmtId="9" fontId="38" fillId="0" borderId="0" xfId="0" applyNumberFormat="1" applyFont="1"/>
    <xf numFmtId="0" fontId="41" fillId="0" borderId="0" xfId="0" quotePrefix="1" applyFont="1" applyAlignment="1">
      <alignment horizontal="left" vertical="center"/>
    </xf>
    <xf numFmtId="0" fontId="35" fillId="10" borderId="2" xfId="0" applyFont="1" applyFill="1" applyBorder="1" applyAlignment="1">
      <alignment horizontal="left"/>
    </xf>
    <xf numFmtId="0" fontId="35" fillId="10" borderId="2" xfId="0" applyFont="1" applyFill="1" applyBorder="1" applyAlignment="1">
      <alignment horizontal="center"/>
    </xf>
    <xf numFmtId="9" fontId="35" fillId="10" borderId="2" xfId="4" applyFont="1" applyFill="1" applyBorder="1" applyAlignment="1">
      <alignment horizontal="center"/>
    </xf>
    <xf numFmtId="0" fontId="22" fillId="0" borderId="0" xfId="6" applyFont="1" applyAlignment="1">
      <alignment vertical="center"/>
    </xf>
    <xf numFmtId="0" fontId="25" fillId="0" borderId="0" xfId="6" applyFont="1" applyAlignment="1">
      <alignment vertical="center"/>
    </xf>
    <xf numFmtId="0" fontId="22" fillId="0" borderId="0" xfId="6" applyFont="1" applyAlignment="1">
      <alignment horizontal="center" vertical="center"/>
    </xf>
    <xf numFmtId="0" fontId="22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horizontal="center" vertical="center"/>
    </xf>
    <xf numFmtId="0" fontId="23" fillId="14" borderId="14" xfId="6" applyFont="1" applyFill="1" applyBorder="1" applyAlignment="1">
      <alignment horizontal="center" vertical="center" wrapText="1"/>
    </xf>
    <xf numFmtId="4" fontId="22" fillId="0" borderId="15" xfId="6" applyNumberFormat="1" applyFont="1" applyBorder="1" applyAlignment="1">
      <alignment horizontal="center" vertical="center"/>
    </xf>
    <xf numFmtId="0" fontId="22" fillId="0" borderId="13" xfId="6" applyFont="1" applyBorder="1" applyAlignment="1">
      <alignment vertical="center"/>
    </xf>
    <xf numFmtId="0" fontId="22" fillId="0" borderId="13" xfId="6" applyFont="1" applyBorder="1" applyAlignment="1">
      <alignment horizontal="center" vertical="center"/>
    </xf>
    <xf numFmtId="0" fontId="43" fillId="0" borderId="13" xfId="6" applyFont="1" applyBorder="1" applyAlignment="1">
      <alignment horizontal="center" vertical="center"/>
    </xf>
    <xf numFmtId="4" fontId="22" fillId="0" borderId="16" xfId="6" applyNumberFormat="1" applyFont="1" applyBorder="1" applyAlignment="1">
      <alignment horizontal="center" vertical="center"/>
    </xf>
    <xf numFmtId="14" fontId="42" fillId="0" borderId="0" xfId="6" applyNumberFormat="1" applyFont="1" applyAlignment="1">
      <alignment horizontal="center" vertical="center"/>
    </xf>
    <xf numFmtId="0" fontId="41" fillId="0" borderId="0" xfId="0" quotePrefix="1" applyFont="1" applyAlignment="1">
      <alignment horizontal="righ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40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9" fontId="22" fillId="0" borderId="0" xfId="4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45" fillId="0" borderId="0" xfId="0" quotePrefix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vertical="center"/>
    </xf>
    <xf numFmtId="0" fontId="48" fillId="0" borderId="2" xfId="0" applyFont="1" applyBorder="1" applyAlignment="1">
      <alignment horizontal="left" vertical="center"/>
    </xf>
    <xf numFmtId="0" fontId="48" fillId="0" borderId="2" xfId="0" applyFont="1" applyBorder="1" applyAlignment="1">
      <alignment horizontal="center" vertical="center"/>
    </xf>
    <xf numFmtId="9" fontId="22" fillId="0" borderId="2" xfId="4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Continuous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Continuous" vertical="center"/>
    </xf>
    <xf numFmtId="9" fontId="22" fillId="0" borderId="1" xfId="4" applyFont="1" applyFill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2" fontId="23" fillId="0" borderId="0" xfId="0" applyNumberFormat="1" applyFont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167" fontId="0" fillId="0" borderId="0" xfId="0" applyNumberFormat="1" applyAlignment="1">
      <alignment vertical="center"/>
    </xf>
    <xf numFmtId="0" fontId="46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9" fontId="23" fillId="0" borderId="8" xfId="4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9" fontId="22" fillId="0" borderId="17" xfId="4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9" fontId="22" fillId="0" borderId="13" xfId="4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9" fontId="22" fillId="0" borderId="18" xfId="4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14" fontId="24" fillId="0" borderId="20" xfId="0" applyNumberFormat="1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8" fillId="0" borderId="13" xfId="0" applyFont="1" applyBorder="1" applyAlignment="1">
      <alignment horizontal="center" vertical="center"/>
    </xf>
    <xf numFmtId="9" fontId="22" fillId="0" borderId="13" xfId="4" applyFont="1" applyFill="1" applyBorder="1" applyAlignment="1">
      <alignment horizontal="center" vertical="center"/>
    </xf>
    <xf numFmtId="0" fontId="48" fillId="0" borderId="21" xfId="0" applyFont="1" applyBorder="1" applyAlignment="1">
      <alignment horizontal="left" vertical="center"/>
    </xf>
    <xf numFmtId="0" fontId="48" fillId="0" borderId="21" xfId="0" applyFont="1" applyBorder="1" applyAlignment="1">
      <alignment horizontal="center" vertical="center"/>
    </xf>
    <xf numFmtId="9" fontId="22" fillId="0" borderId="21" xfId="4" applyFont="1" applyFill="1" applyBorder="1" applyAlignment="1">
      <alignment horizontal="center" vertical="center"/>
    </xf>
    <xf numFmtId="0" fontId="48" fillId="0" borderId="13" xfId="0" applyFont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2" fillId="15" borderId="17" xfId="0" applyFont="1" applyFill="1" applyBorder="1" applyAlignment="1">
      <alignment horizontal="center" vertical="center"/>
    </xf>
    <xf numFmtId="0" fontId="22" fillId="15" borderId="13" xfId="0" applyFont="1" applyFill="1" applyBorder="1" applyAlignment="1">
      <alignment horizontal="center" vertical="center"/>
    </xf>
    <xf numFmtId="0" fontId="22" fillId="15" borderId="18" xfId="0" applyFont="1" applyFill="1" applyBorder="1" applyAlignment="1">
      <alignment horizontal="center" vertical="center"/>
    </xf>
    <xf numFmtId="0" fontId="23" fillId="15" borderId="8" xfId="0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Alignment="1">
      <alignment horizontal="left"/>
    </xf>
    <xf numFmtId="0" fontId="1" fillId="0" borderId="23" xfId="6" applyBorder="1" applyAlignment="1">
      <alignment horizontal="center"/>
    </xf>
    <xf numFmtId="0" fontId="1" fillId="0" borderId="24" xfId="6" applyBorder="1" applyAlignment="1">
      <alignment horizontal="center"/>
    </xf>
    <xf numFmtId="0" fontId="50" fillId="0" borderId="0" xfId="6" applyFont="1" applyAlignment="1">
      <alignment horizontal="left"/>
    </xf>
    <xf numFmtId="0" fontId="50" fillId="0" borderId="0" xfId="6" applyFont="1" applyAlignment="1">
      <alignment horizontal="center"/>
    </xf>
    <xf numFmtId="0" fontId="40" fillId="0" borderId="0" xfId="6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39" fillId="0" borderId="0" xfId="0" quotePrefix="1" applyFont="1" applyAlignment="1">
      <alignment vertical="center"/>
    </xf>
    <xf numFmtId="0" fontId="23" fillId="2" borderId="8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9" fontId="22" fillId="0" borderId="17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9" fontId="22" fillId="0" borderId="13" xfId="0" applyNumberFormat="1" applyFont="1" applyBorder="1" applyAlignment="1">
      <alignment vertical="center"/>
    </xf>
    <xf numFmtId="0" fontId="22" fillId="0" borderId="18" xfId="0" applyFont="1" applyBorder="1" applyAlignment="1">
      <alignment horizontal="left" vertical="center"/>
    </xf>
    <xf numFmtId="9" fontId="22" fillId="0" borderId="18" xfId="0" applyNumberFormat="1" applyFont="1" applyBorder="1" applyAlignment="1">
      <alignment vertical="center"/>
    </xf>
    <xf numFmtId="9" fontId="22" fillId="0" borderId="18" xfId="4" applyFont="1" applyBorder="1" applyAlignment="1">
      <alignment vertical="center"/>
    </xf>
    <xf numFmtId="0" fontId="23" fillId="0" borderId="8" xfId="0" applyFont="1" applyBorder="1" applyAlignment="1">
      <alignment horizontal="left" vertical="center"/>
    </xf>
    <xf numFmtId="9" fontId="23" fillId="0" borderId="8" xfId="0" applyNumberFormat="1" applyFont="1" applyBorder="1" applyAlignment="1">
      <alignment vertical="center"/>
    </xf>
    <xf numFmtId="9" fontId="22" fillId="0" borderId="0" xfId="0" applyNumberFormat="1" applyFont="1" applyAlignment="1">
      <alignment vertical="center"/>
    </xf>
    <xf numFmtId="0" fontId="22" fillId="2" borderId="8" xfId="0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52" fillId="2" borderId="8" xfId="0" applyFont="1" applyFill="1" applyBorder="1" applyAlignment="1">
      <alignment horizontal="center" vertical="center"/>
    </xf>
    <xf numFmtId="9" fontId="51" fillId="0" borderId="17" xfId="0" applyNumberFormat="1" applyFont="1" applyBorder="1" applyAlignment="1">
      <alignment horizontal="center" vertical="center"/>
    </xf>
    <xf numFmtId="9" fontId="51" fillId="0" borderId="13" xfId="0" applyNumberFormat="1" applyFont="1" applyBorder="1" applyAlignment="1">
      <alignment horizontal="center" vertical="center"/>
    </xf>
    <xf numFmtId="9" fontId="51" fillId="0" borderId="18" xfId="0" applyNumberFormat="1" applyFont="1" applyBorder="1" applyAlignment="1">
      <alignment horizontal="center" vertical="center"/>
    </xf>
    <xf numFmtId="9" fontId="53" fillId="0" borderId="8" xfId="0" applyNumberFormat="1" applyFont="1" applyBorder="1" applyAlignment="1">
      <alignment horizontal="center" vertical="center"/>
    </xf>
    <xf numFmtId="9" fontId="51" fillId="0" borderId="0" xfId="0" applyNumberFormat="1" applyFont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/>
    </xf>
    <xf numFmtId="9" fontId="51" fillId="5" borderId="8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9" fontId="51" fillId="7" borderId="17" xfId="0" applyNumberFormat="1" applyFont="1" applyFill="1" applyBorder="1" applyAlignment="1">
      <alignment horizontal="center" vertical="center"/>
    </xf>
    <xf numFmtId="9" fontId="51" fillId="7" borderId="13" xfId="0" applyNumberFormat="1" applyFont="1" applyFill="1" applyBorder="1" applyAlignment="1">
      <alignment horizontal="center" vertical="center"/>
    </xf>
    <xf numFmtId="9" fontId="51" fillId="7" borderId="18" xfId="0" applyNumberFormat="1" applyFont="1" applyFill="1" applyBorder="1" applyAlignment="1">
      <alignment horizontal="center" vertical="center"/>
    </xf>
    <xf numFmtId="9" fontId="53" fillId="7" borderId="8" xfId="0" applyNumberFormat="1" applyFont="1" applyFill="1" applyBorder="1" applyAlignment="1">
      <alignment horizontal="center" vertical="center"/>
    </xf>
    <xf numFmtId="9" fontId="51" fillId="7" borderId="0" xfId="0" applyNumberFormat="1" applyFont="1" applyFill="1" applyAlignment="1">
      <alignment horizontal="center" vertical="center"/>
    </xf>
    <xf numFmtId="9" fontId="51" fillId="3" borderId="8" xfId="0" applyNumberFormat="1" applyFont="1" applyFill="1" applyBorder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11" fillId="0" borderId="13" xfId="0" applyFont="1" applyBorder="1"/>
    <xf numFmtId="0" fontId="8" fillId="0" borderId="8" xfId="0" applyFont="1" applyBorder="1"/>
    <xf numFmtId="0" fontId="11" fillId="0" borderId="17" xfId="0" applyFont="1" applyBorder="1" applyAlignment="1">
      <alignment horizontal="right"/>
    </xf>
    <xf numFmtId="0" fontId="11" fillId="0" borderId="17" xfId="0" applyFont="1" applyBorder="1"/>
    <xf numFmtId="0" fontId="11" fillId="0" borderId="18" xfId="0" applyFont="1" applyBorder="1" applyAlignment="1">
      <alignment horizontal="right"/>
    </xf>
    <xf numFmtId="0" fontId="11" fillId="0" borderId="18" xfId="0" applyFont="1" applyBorder="1"/>
    <xf numFmtId="0" fontId="8" fillId="0" borderId="13" xfId="0" applyFont="1" applyBorder="1" applyAlignment="1">
      <alignment horizontal="left" indent="1"/>
    </xf>
    <xf numFmtId="0" fontId="8" fillId="0" borderId="17" xfId="0" applyFont="1" applyBorder="1" applyAlignment="1">
      <alignment horizontal="left" indent="1"/>
    </xf>
    <xf numFmtId="0" fontId="8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41" fillId="0" borderId="29" xfId="0" quotePrefix="1" applyFont="1" applyBorder="1" applyAlignment="1">
      <alignment horizontal="center" vertical="center"/>
    </xf>
    <xf numFmtId="9" fontId="22" fillId="0" borderId="13" xfId="4" applyFont="1" applyBorder="1" applyAlignment="1">
      <alignment vertical="center"/>
    </xf>
    <xf numFmtId="9" fontId="22" fillId="0" borderId="17" xfId="4" applyFont="1" applyBorder="1" applyAlignment="1">
      <alignment vertical="center"/>
    </xf>
    <xf numFmtId="0" fontId="48" fillId="13" borderId="13" xfId="0" applyFont="1" applyFill="1" applyBorder="1" applyAlignment="1">
      <alignment horizontal="center" vertical="center"/>
    </xf>
    <xf numFmtId="0" fontId="22" fillId="13" borderId="13" xfId="6" applyFont="1" applyFill="1" applyBorder="1" applyAlignment="1">
      <alignment vertical="center"/>
    </xf>
    <xf numFmtId="0" fontId="43" fillId="13" borderId="13" xfId="6" applyFont="1" applyFill="1" applyBorder="1" applyAlignment="1">
      <alignment horizontal="center" vertical="center"/>
    </xf>
    <xf numFmtId="0" fontId="22" fillId="0" borderId="13" xfId="19" applyFont="1" applyBorder="1" applyAlignment="1">
      <alignment horizontal="center" vertical="center"/>
    </xf>
    <xf numFmtId="0" fontId="22" fillId="0" borderId="13" xfId="19" applyFont="1" applyBorder="1" applyAlignment="1">
      <alignment vertical="center"/>
    </xf>
    <xf numFmtId="0" fontId="43" fillId="0" borderId="13" xfId="19" applyFont="1" applyBorder="1" applyAlignment="1">
      <alignment horizontal="center" vertical="center"/>
    </xf>
    <xf numFmtId="4" fontId="22" fillId="0" borderId="16" xfId="19" applyNumberFormat="1" applyFont="1" applyBorder="1" applyAlignment="1">
      <alignment horizontal="center" vertical="center"/>
    </xf>
    <xf numFmtId="9" fontId="51" fillId="7" borderId="17" xfId="0" quotePrefix="1" applyNumberFormat="1" applyFont="1" applyFill="1" applyBorder="1" applyAlignment="1">
      <alignment horizontal="center" vertical="center"/>
    </xf>
    <xf numFmtId="9" fontId="51" fillId="7" borderId="13" xfId="0" quotePrefix="1" applyNumberFormat="1" applyFont="1" applyFill="1" applyBorder="1" applyAlignment="1">
      <alignment horizontal="center" vertical="center"/>
    </xf>
    <xf numFmtId="9" fontId="51" fillId="7" borderId="18" xfId="0" quotePrefix="1" applyNumberFormat="1" applyFont="1" applyFill="1" applyBorder="1" applyAlignment="1">
      <alignment horizontal="center" vertical="center"/>
    </xf>
    <xf numFmtId="9" fontId="53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22" fillId="0" borderId="0" xfId="19" applyFont="1" applyAlignment="1">
      <alignment vertical="center"/>
    </xf>
    <xf numFmtId="0" fontId="43" fillId="0" borderId="0" xfId="19" applyFont="1" applyAlignment="1">
      <alignment horizontal="center" vertical="center"/>
    </xf>
    <xf numFmtId="4" fontId="22" fillId="0" borderId="32" xfId="19" applyNumberFormat="1" applyFont="1" applyBorder="1" applyAlignment="1">
      <alignment horizontal="center" vertical="center"/>
    </xf>
    <xf numFmtId="9" fontId="22" fillId="0" borderId="0" xfId="4" applyFont="1" applyBorder="1" applyAlignment="1">
      <alignment vertical="center"/>
    </xf>
    <xf numFmtId="0" fontId="58" fillId="13" borderId="30" xfId="19" applyFont="1" applyFill="1" applyBorder="1" applyAlignment="1">
      <alignment vertical="center"/>
    </xf>
    <xf numFmtId="0" fontId="59" fillId="13" borderId="30" xfId="19" applyFont="1" applyFill="1" applyBorder="1" applyAlignment="1">
      <alignment horizontal="center" vertical="center"/>
    </xf>
    <xf numFmtId="4" fontId="58" fillId="13" borderId="31" xfId="19" applyNumberFormat="1" applyFont="1" applyFill="1" applyBorder="1" applyAlignment="1">
      <alignment horizontal="center" vertical="center"/>
    </xf>
    <xf numFmtId="9" fontId="58" fillId="13" borderId="30" xfId="4" applyFont="1" applyFill="1" applyBorder="1" applyAlignment="1">
      <alignment vertical="center"/>
    </xf>
    <xf numFmtId="0" fontId="22" fillId="13" borderId="13" xfId="19" applyFont="1" applyFill="1" applyBorder="1" applyAlignment="1">
      <alignment vertical="center"/>
    </xf>
    <xf numFmtId="0" fontId="43" fillId="13" borderId="13" xfId="19" applyFont="1" applyFill="1" applyBorder="1" applyAlignment="1">
      <alignment horizontal="center" vertical="center"/>
    </xf>
    <xf numFmtId="4" fontId="22" fillId="13" borderId="16" xfId="19" applyNumberFormat="1" applyFont="1" applyFill="1" applyBorder="1" applyAlignment="1">
      <alignment horizontal="center" vertical="center"/>
    </xf>
    <xf numFmtId="9" fontId="22" fillId="13" borderId="13" xfId="4" applyFont="1" applyFill="1" applyBorder="1" applyAlignment="1">
      <alignment vertical="center"/>
    </xf>
    <xf numFmtId="0" fontId="48" fillId="16" borderId="13" xfId="0" applyFont="1" applyFill="1" applyBorder="1" applyAlignment="1">
      <alignment horizontal="left" vertical="center"/>
    </xf>
    <xf numFmtId="0" fontId="48" fillId="16" borderId="13" xfId="0" applyFont="1" applyFill="1" applyBorder="1" applyAlignment="1">
      <alignment horizontal="center" vertical="center"/>
    </xf>
    <xf numFmtId="9" fontId="22" fillId="16" borderId="13" xfId="4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7" borderId="0" xfId="0" applyNumberFormat="1" applyFont="1" applyFill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3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5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  <xf numFmtId="0" fontId="8" fillId="0" borderId="0" xfId="0" applyFont="1" applyAlignment="1"/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15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</cellXfs>
  <cellStyles count="20">
    <cellStyle name="Comma 2" xfId="7" xr:uid="{00000000-0005-0000-0000-000000000000}"/>
    <cellStyle name="Comma 2 2" xfId="8" xr:uid="{00000000-0005-0000-0000-000001000000}"/>
    <cellStyle name="Currency 2" xfId="9" xr:uid="{00000000-0005-0000-0000-000002000000}"/>
    <cellStyle name="Currency 2 2" xfId="10" xr:uid="{00000000-0005-0000-0000-000003000000}"/>
    <cellStyle name="Currency 3" xfId="11" xr:uid="{00000000-0005-0000-0000-000004000000}"/>
    <cellStyle name="Hyperlink" xfId="1" builtinId="8"/>
    <cellStyle name="Hyperlink 2" xfId="12" xr:uid="{00000000-0005-0000-0000-000006000000}"/>
    <cellStyle name="Normal" xfId="0" builtinId="0"/>
    <cellStyle name="Normal 2" xfId="2" xr:uid="{00000000-0005-0000-0000-000008000000}"/>
    <cellStyle name="Normal 2 2" xfId="6" xr:uid="{00000000-0005-0000-0000-000009000000}"/>
    <cellStyle name="Normal 2 2 2" xfId="19" xr:uid="{00000000-0005-0000-0000-00000A000000}"/>
    <cellStyle name="Normal 2 3" xfId="13" xr:uid="{00000000-0005-0000-0000-00000B000000}"/>
    <cellStyle name="Normal 3" xfId="3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ercent" xfId="4" builtinId="5"/>
    <cellStyle name="Percent 2" xfId="5" xr:uid="{00000000-0005-0000-0000-000011000000}"/>
    <cellStyle name="Percent 2 2" xfId="17" xr:uid="{00000000-0005-0000-0000-000012000000}"/>
    <cellStyle name="Percent 3" xfId="18" xr:uid="{00000000-0005-0000-0000-000013000000}"/>
  </cellStyles>
  <dxfs count="1524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2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{74A8251B-0FD3-4AD5-9921-47BC0780FD29}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{49A53B6E-9EA8-4E97-AE08-369E3F582F50}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{201361DE-1F73-4262-8D51-4B5AD34A76A1}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{35A7B2E1-30DC-4251-9DC2-7E5AC30AA9F2}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{CAD5524F-6D6D-4390-9BC5-91C0F5751526}</c15:txfldGUID>
                      <c15:f>Credit_2021Q1!$V$8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{3B579055-62FF-45E6-9ABD-4BFEF0F192C4}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{8546197B-5211-4AD5-84D2-55DA19623C99}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{1ECF29C0-7502-47C1-96CB-87C54B326719}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{08032B8E-7BFE-474B-9FA4-80EF0105F28D}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{E5902FCA-8AF5-47E4-875B-C565A43B5C4E}</c15:txfldGUID>
                      <c15:f>Credit_2021Q1!$V$9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{0BB1DB8C-C59A-4D83-888B-F5D1381482D2}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{560E41FB-658F-4DB6-8968-8734E854EF61}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{E5E5DC10-F726-459B-A3B6-A7C37FF13B87}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{A6C63C16-1910-48AC-836D-01C07B686ABA}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{74D2CB49-F741-44FA-86AC-104DA9F22AB6}</c15:txfldGUID>
                      <c15:f>Credit_2021Q1!$V$10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{3C7D5EB0-BFB3-4891-8EEB-9D7F8A45CE10}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{FEDE1A00-2E86-4560-9BEE-CF3B514586FB}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{D3F64D33-0509-4E7E-8614-B6B8F4AB260E}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{448008CD-F18E-4EA6-8417-E42039E41161}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{F5F25442-B461-44A5-91DF-8B27A2E12D5F}</c15:txfldGUID>
                      <c15:f>Credit_2021Q1!$V$11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{AB5E6FE1-5E32-479F-8FC9-C5EF1CF41262}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{CDAEF1DD-385C-481D-889B-0CCCA44B4CF5}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{627BB94A-E6D2-4940-9864-558CDF4EF2EC}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{F23CBDF3-94A7-4075-831A-6F33CCB8C7A0}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{A042093A-383F-4073-ACDE-73FE2B568DF5}</c15:txfldGUID>
                      <c15:f>Credit_2021Q1!$V$12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{4C2E3A6E-9B22-4654-8DD4-E9692B7725E6}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{77455C94-1675-4D01-B373-E18BB5A3A3F0}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{38193B7D-9326-44EA-99A5-4C36A1219C34}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{6743C0A5-C2AB-41E5-9B4B-C3BB3D5B8F8A}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{3693B8F2-C15E-4431-A0E7-73BB70CDC072}</c15:txfldGUID>
                      <c15:f>Credit_2021Q1!$V$13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{2FDAD93F-1DF7-4EDC-B47D-E6F8E13DBF06}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{BDA7BDC1-740C-465C-A394-7BFBAA6397FE}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{1822223F-F866-4C66-A544-37251112EC80}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{6793F915-35AC-48BD-8D5F-B659E576D98C}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{6AA10454-8E17-41E0-8D2B-392025B40CAE}</c15:txfldGUID>
                      <c15:f>Credit_2020Q4!$V$8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{A1EC642D-48BB-404B-B21C-CAD0BAFFAF63}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{7EEAC689-BA64-4F27-8A68-33D879FF3941}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{B555D6D1-B914-4FAF-AC8C-15D6993BB070}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{E3BF50D1-5AC1-4C34-900A-071611691646}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{99AE467F-1597-44C2-8AE4-B672AF4800E4}</c15:txfldGUID>
                      <c15:f>Credit_2020Q4!$V$9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{136FF4C6-6B98-4FFE-A703-5C6AEAEE714C}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{C3FD0384-D88F-4F77-B569-9233369BA3E4}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{FCB341BD-71FF-4BE0-8672-E06D3D3AD51C}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{E11CC00A-FDA0-42A5-8183-37A94EE3D13D}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{54178102-3058-4861-97F5-666EFDCA09B8}</c15:txfldGUID>
                      <c15:f>Credit_2020Q4!$V$10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{6B9A06B3-D164-4E85-BAA8-FC5D3566D692}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{39449D35-2B19-49D9-BED6-1841A8BEE6F4}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{761B24FC-A688-435E-B255-1CF219663BC8}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{22FBD281-C304-4795-89A4-1B55BC223760}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{C9533872-AEFD-445A-82D5-7C73540500BB}</c15:txfldGUID>
                      <c15:f>Credit_2020Q4!$V$11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{AD8DD7C9-CA22-4939-8E5C-A4B31845F1E7}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{A6A915BA-515E-4359-B222-9980ADBF4D49}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{04DCB691-FDB4-4BBE-925C-13F2B6BA8A90}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{150B697C-91A1-4D15-ACE3-7A22F7829187}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{4E0468AE-F6C1-4850-8022-35B5916A8904}</c15:txfldGUID>
                      <c15:f>Credit_2020Q4!$V$12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{586478E5-3E52-4A36-944A-8368C18298C5}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{034C562B-B164-4104-BCA0-4DB99267F7E8}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{D47B7F60-A203-47CA-86EA-5E0B5BE35CF3}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{4742E0A4-23A5-4EB2-AE73-814EFD44F918}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{EEE9C420-1214-4CD8-B917-1669F48F4972}</c15:txfldGUID>
                      <c15:f>Credit_2020Q4!$V$13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{6DE51064-85D5-4F70-8B00-D2F4EDE25E01}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{14BB8370-ACE3-43FD-8E56-D806B77BB0EC}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{5760441D-CA6D-4C17-9EC4-8ABF43CB02ED}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{8D62FA19-ED1F-405B-8BE2-6EBC741D9DF1}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{C9E2BF6B-F883-46E5-81CD-D3D4906F3BE9}</c15:txfldGUID>
                      <c15:f>Credit_2020Q3!$V$8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{14C9E899-1633-47E6-965E-0589D5033469}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{F78F289E-4E03-4B66-9559-0C0359D05B29}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{778A8D11-F32E-4B25-9826-B67E4E5CCB50}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{95FC38B2-4D19-434D-8026-0F6E50E12CF0}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{A94B6F39-91BF-4B81-9655-447C8F5BDCAD}</c15:txfldGUID>
                      <c15:f>Credit_2020Q3!$V$9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{69CC55DD-2A92-416E-AE2E-2549E2D532E6}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{F694F0B3-FAE0-4D91-8395-99411DD5D2EC}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{AF50966F-BE7D-4912-94E6-C051E6FEF635}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{70D5954F-25E7-4E9B-AC0B-32CCCE15CE9B}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{89B00953-602D-4101-90A2-F32D07DDBDDC}</c15:txfldGUID>
                      <c15:f>Credit_2020Q3!$V$10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{0B12F505-288E-4ECE-9921-2D5901088800}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{C46DE5CD-347E-4E65-BC80-748233DDAE8F}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{5C1C9A48-9894-45DD-86E7-1109A48BA72D}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{9573CBA6-03D0-469C-BBD6-1C905A750367}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{82DA9102-29FA-4CE5-9CDA-C246CBD5566A}</c15:txfldGUID>
                      <c15:f>Credit_2020Q3!$V$11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{DBBF0C42-E6DC-4FC7-B1F1-B8AFD9A91838}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{53D0CF61-0454-4777-B729-BFE84D29B6AD}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{6C78183E-EB88-4A5B-A60F-81F2F8481499}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{4723E0C9-FF22-477A-88CE-667A94B58D42}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{1187140E-EEC9-448B-B9B7-ADD1D7B92064}</c15:txfldGUID>
                      <c15:f>Credit_2020Q3!$V$12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{9E0BD407-0FF9-4220-9E2F-A8819F12D769}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{D8D3D60D-0627-4C9F-8E8E-710402B93E27}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{CB06DBC9-B18F-4AA4-97C9-20731B93C7EB}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{E7D77F7D-9814-4EC1-85C3-B3226E9ABCFE}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{0FA46BAA-863A-40E4-B63F-792030ACA3A6}</c15:txfldGUID>
                      <c15:f>Credit_2020Q3!$V$13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{7456471D-BDDB-456E-AD8C-DDCD4DDEE4E4}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{E8C48C9A-14B5-40D2-B188-9A4EC474FB79}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{B8934B76-9783-4EE2-AC02-2A5002573D34}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{C5B98DB5-979C-42AF-A215-ACB0DFB08ED8}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{75B6284C-40EA-42C4-901B-B4572D0E3D16}</c15:txfldGUID>
                      <c15:f>Credit_2020Q2!$V$8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{00587B67-C45B-4C10-9C51-5DE0055D9123}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{A361F77C-9DB9-4169-8F96-1E8BA1260521}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{0D1D8630-49C0-4B2F-8A50-0C52F380F41C}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{9333E2A4-6FAD-4BAD-AFD2-F8F37A116932}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{6FB1D42F-BB11-4169-8EEB-0B87F2E66853}</c15:txfldGUID>
                      <c15:f>Credit_2020Q2!$V$9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{38E70927-A6DA-4681-B2A5-CE8562C9B932}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{8CA7BEBC-19D9-4353-9B5A-CE5AD6C549A0}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{988CBEB4-943E-4199-BD70-10D707E463FA}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{1A910CE2-E4C0-4783-A554-99A98F425BCB}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{2FD888C7-6D71-4130-8DB8-70BCE556BCC3}</c15:txfldGUID>
                      <c15:f>Credit_2020Q2!$V$10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{54D8AA62-6784-4EC3-B2CE-D6E45A434524}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{D1A71BAE-7A2B-43AB-91F6-D253A8BD9C73}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{C8BD045A-B232-43E7-8479-DD3A54DDB444}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{F76E4020-B29A-453B-B8A7-63EAAA4D4E5A}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{A35ADCC9-ACDF-4EB3-AEFF-A385AED91FFD}</c15:txfldGUID>
                      <c15:f>Credit_2020Q2!$V$11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{CCD0692E-2A19-4C8C-A5A8-12364025B6EC}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{A934820B-E4ED-4DA9-AC59-E6BC10E12797}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{E57C9A58-6B2A-4990-B2BE-9DC43E43A77E}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{A196E7EC-1AC6-4D78-AEAC-59899E690FE6}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{BB85F99B-5D51-41CF-B0D2-CD0ED8E357DA}</c15:txfldGUID>
                      <c15:f>Credit_2020Q2!$V$12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{42DC70CD-F5B4-4FFF-990C-84CA1C0E89C0}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{09134965-4112-40BA-BC71-661A35063A00}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{08FF7ACB-35B6-46AE-9F09-7302BCCDFE13}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{A3BE86D1-410D-4EDC-A958-A181CAEFA578}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{2C16EAAB-DBB1-4730-AF38-C7E8FF08D935}</c15:txfldGUID>
                      <c15:f>Credit_2020Q2!$V$13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{6730614A-7B3A-4B91-ADE1-CB4C11623503}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{30121F38-4FCA-4D3F-A072-25C1B658D347}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{305F8B8E-0DEB-4C4B-912C-801DCF74182E}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{A51123D7-5FFF-4626-AC0D-B89D4679A55D}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{BD77041B-BD7D-40EE-9BCB-C274CAB1BB18}</c15:txfldGUID>
                      <c15:f>Credit_2020Q1!$V$8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{D554F4D8-B8F2-4412-A8E8-C4FE63917746}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{C8599D54-068B-4785-BF41-C955759C78F0}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{C3DE1108-1A49-474C-ADE5-2F62CFA1C401}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{5BE325B2-09B1-4E68-AE0C-F4B34549622F}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{13C649E5-1C01-4568-8766-256F7BAF99D4}</c15:txfldGUID>
                      <c15:f>Credit_2020Q1!$V$9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{5B0038D2-F621-4F7B-B811-2C04D1076CB0}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{0DAA3CC2-7A47-4ACD-B2BD-0737FC8B4330}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{6F0254D6-6E81-4EF7-ACEB-321E6536478E}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{A9D5B765-BD08-48DD-A487-47DA600A4317}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{6DB81F3B-CCCC-4478-8B54-626C9389B348}</c15:txfldGUID>
                      <c15:f>Credit_2020Q1!$V$10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{B2C879C7-3A93-4AB6-A118-5AA6C39B0B24}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{473261CB-F8BE-4025-A124-2AB24B9E2347}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{8C519FC3-F741-4D47-BAB0-EF73EFC0C8C4}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{38DB1576-0F2D-4569-9DB0-5377C9E29AB2}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{DC09AE9A-B86A-4874-B864-C062B77850C8}</c15:txfldGUID>
                      <c15:f>Credit_2020Q1!$V$11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{03E1A768-12D4-446A-B74B-BE2F8E9594AE}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{0520D32B-AFB5-4B43-A23B-B24E866E6AD1}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{1245D7AD-5DB8-45B1-9E9F-EC17734DFFB4}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{3F51AD7F-6C64-405B-B72C-23CC35B692DB}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{4C01EF65-4C8A-448C-AE7A-EA725B60AFA9}</c15:txfldGUID>
                      <c15:f>Credit_2020Q1!$V$12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{A441E97C-C3D7-44F9-9CC1-3DF7F4FE24ED}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{88288F5A-A3C2-47C4-A033-5DCAC48F8BD9}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{5DA3B03A-F834-4739-929E-A05125C62933}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{61F0F12B-5517-4034-B342-7B0F643E4571}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{6D4D7F1A-7100-46E2-BDEB-04F9B77CC1C0}</c15:txfldGUID>
                      <c15:f>Credit_2020Q1!$V$13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Downgrades'!$B$29:$CG$29</c:f>
              <c:numCache>
                <c:formatCode>General</c:formatCode>
                <c:ptCount val="8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Downgrades'!$B$30:$CG$30</c:f>
              <c:numCache>
                <c:formatCode>General</c:formatCode>
                <c:ptCount val="84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  <c:pt idx="8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Downgrades'!$B$31:$CG$31</c:f>
              <c:numCache>
                <c:formatCode>General</c:formatCode>
                <c:ptCount val="84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  <c:pt idx="82">
                  <c:v>-3</c:v>
                </c:pt>
                <c:pt idx="8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Downgrades'!$B$33:$CG$33</c:f>
              <c:numCache>
                <c:formatCode>General</c:formatCode>
                <c:ptCount val="84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Downgrades'!$B$28:$CG$28</c:f>
              <c:strCache>
                <c:ptCount val="84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</c:strCache>
            </c:strRef>
          </c:cat>
          <c:val>
            <c:numRef>
              <c:f>'II. Upgrades &amp; Downgrades'!$B$34:$CG$34</c:f>
              <c:numCache>
                <c:formatCode>General</c:formatCode>
                <c:ptCount val="84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  <c:pt idx="82">
                  <c:v>-2</c:v>
                </c:pt>
                <c:pt idx="83">
                  <c:v>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{0661040E-A3CD-4125-996A-1E86ECCE8A61}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{C986C0C4-6F6D-4F0F-8CE2-E3D9B2CC02BA}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{27D700F9-A5D2-4B29-BFA0-E80748D5697B}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{9B681403-BE21-4E0B-AE6C-08324D28A1FA}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{0EAE2E21-F826-4481-80D5-DCFD2B0CFA7F}</c15:txfldGUID>
                      <c15:f>Credit_2019Q4!$V$8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{0A6A55E4-C4C9-450F-AF10-FB0341C3B41C}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{D7262545-2BE0-459D-B0CA-9E45825AD5C7}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{9DBA6F83-B525-445F-94A3-5B7351F4DC44}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{234C7D38-D81F-47B4-B60C-22E75EBF5DC1}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{52D7C9EC-56D7-4341-8DB4-78C422A3333B}</c15:txfldGUID>
                      <c15:f>Credit_2019Q4!$V$9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{F967D568-32CB-4863-84C1-2993FFB6F1A2}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{64219E8F-8689-4C57-A6DB-834C98D8DD0D}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{CB6625E7-43F8-408A-986E-ACEA29C09455}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{88C9AD14-3D01-4866-8B91-8FC6045281F0}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{F6D3305E-951E-4073-9BE0-64794CA9E4B6}</c15:txfldGUID>
                      <c15:f>Credit_2019Q4!$V$10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{B1F11B64-297A-4A59-8B55-0507DD599AEE}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{C725F8D7-4921-4DD0-9386-3F1051E65735}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{0DCAE3D6-0203-423F-9D10-15204DBE77F2}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{411C75ED-6D04-4A75-9D76-CD67B6424F09}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{EF078038-2480-4250-892E-0B61E34359AA}</c15:txfldGUID>
                      <c15:f>Credit_2019Q4!$V$11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{1FCC041B-904D-4120-89E8-902B4AF474E6}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{4AF9FA15-21FC-4918-8A44-4F201767DEE2}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{EB7A33AD-D3D4-4948-9B9B-FB5952146AA3}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{8FFC1FD1-3BE2-4C4C-A095-7DE253A40FC1}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{0BD72C33-01D7-45B6-AA01-6F17C05D81ED}</c15:txfldGUID>
                      <c15:f>Credit_2019Q4!$V$12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{AA54F326-8F78-4B6C-9620-98B723C49514}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{E436522C-B2F3-4E60-AF68-105FE485189B}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{E0987B2D-63A5-472C-A5FC-430DE3CA40AA}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{2C827C8A-70EC-4E1E-98CD-A9E297DBFF24}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{91A2142A-54D5-46A1-8952-D2D2D6549FCE}</c15:txfldGUID>
                      <c15:f>Credit_2019Q4!$V$13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{DAAFB887-A182-4931-9929-25C2746D2D52}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{7399D619-D98F-4E64-9B0A-0CBA41B7B7CE}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{31BB8648-0B37-4446-9C85-53E4FB65CBF2}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{CE012587-0181-4AA4-BCAC-53D3F5AACE7A}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{73988215-004E-46D2-882E-228741A7BFEA}</c15:txfldGUID>
                      <c15:f>Credit_2019Q3!$V$8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{5BC68C2F-8244-4629-8891-6D7A21C70A5A}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{E89A87EB-DCAB-4F1E-A830-AE3977C77C04}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{FF07910B-83F0-4CDB-B540-07AEDF5A340B}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{B00AB351-E135-4802-A62C-0014E45BF37B}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{4BFE2443-92C9-4569-A50E-D30F4EBD47FA}</c15:txfldGUID>
                      <c15:f>Credit_2019Q3!$V$9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{D9DFAD58-C589-43F6-921A-1831089C2BA4}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{0DD99862-4377-462F-8025-3C1AEBF31D1C}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{CB4944C6-795F-47A3-9572-4B206A9C1D61}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{A15E8433-BD9E-4CD5-AF40-4866AA504071}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{ED0D038D-EDE0-4141-8EF3-7EC452F467B8}</c15:txfldGUID>
                      <c15:f>Credit_2019Q3!$V$10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{3B424466-D58B-4F85-AE85-B502125ABACD}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{3D53DA11-C62D-4407-9519-C5C18027C4AA}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{2F179264-0494-499B-AC72-F6EC9BB0D174}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{E7F03704-C9E2-4A80-A527-860CD01CF9E9}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{D70F0ECD-D708-4DC9-8FC1-B99E54D4B8DC}</c15:txfldGUID>
                      <c15:f>Credit_2019Q3!$V$11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{821CDE05-9EA4-4A68-AB8D-58B79F1B3600}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{CBF9AD38-22A0-4123-AEC6-9E1FBCB14C8F}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{8C2ADEA3-EE84-47DC-82DE-CCA619A08DB8}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{64426A4E-2674-437B-854C-F11B8FE6ACF4}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{00D71EF7-AC8E-475F-BA28-71ACDDF8DD82}</c15:txfldGUID>
                      <c15:f>Credit_2019Q3!$V$12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{5A52777C-4875-45F1-A0A7-9E4F07327A4F}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{BDC6CB5D-85A0-4078-AE3D-D4F290E8E4D1}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{1600658E-723D-4553-B9D0-359F7958B46D}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{C8AFDD83-DB72-4048-94A0-5083FEC97F3F}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{178CA5C6-2F26-44E3-AC3C-9ADF5524A104}</c15:txfldGUID>
                      <c15:f>Credit_2019Q3!$V$13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{7A494FE9-1AE1-4A92-AC67-BE3EBD7D2CB8}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{CE93F0DB-72FC-477B-BAA9-CF9CA88FEAF2}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{5F5EE118-1DB5-45C1-B2FB-37D993193104}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{79FAADB2-7CB1-4A67-82EB-2F5B345E54A5}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{1FA2B80A-1BC7-4D02-A108-4519184D92AA}</c15:txfldGUID>
                      <c15:f>Credit_2019Q2!$V$8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{ADA6E9FA-996D-4564-9B67-32922F58B391}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{7279F9B1-11F7-4116-9C73-34DF4FEAEF32}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{66805113-4651-4555-AB27-80F0944A6EEA}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{FF79EC1C-9752-4F82-9102-31A79E88A739}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{BB533706-8D95-47F6-B468-3F6A6B62C0CA}</c15:txfldGUID>
                      <c15:f>Credit_2019Q2!$V$9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{91BB20E5-81FC-455B-8EC0-2796E80505FA}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{C5364550-C853-4AF5-9DAA-F2E3EC923CB2}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{9136BFC4-30E3-4A66-A121-B9A17510F15B}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{0839B46C-1E4A-423F-95E7-197A3E8073AA}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{A8197432-8B9C-40D3-894D-0C19D028D2F9}</c15:txfldGUID>
                      <c15:f>Credit_2019Q2!$V$10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{555A8E97-C7F0-41D9-B804-6B93806AF34B}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{535AE3FC-010A-4231-BCD8-37477DAC4D48}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{9792348E-026B-4D11-BD2D-65AA2858334C}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{BA3A8740-586E-4687-A69F-2B74D9967E7D}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{0DBC06A1-6F11-4072-9A3B-952243C2E967}</c15:txfldGUID>
                      <c15:f>Credit_2019Q2!$V$11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{003F40BA-BB68-4E49-BFE0-4D808DBF661C}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{5FD632BE-676B-4904-9879-2E0DD66BBD84}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{79DF2666-71FE-481D-B2AB-A4D058287353}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{543586A4-EE96-4F04-BC4E-B0619295B967}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{95C4C151-D944-41BA-8E28-BFA4758A2D5F}</c15:txfldGUID>
                      <c15:f>Credit_2019Q2!$V$12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{D6F5ECC7-87DF-4B4F-8452-77DAB4375636}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{E44B3DB1-F07E-44FE-B295-457AAAE88A6D}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{4EA66FCC-6D6A-49E6-913C-85EEE3E297FE}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{556CD46E-5193-4FA3-967F-867D5CB988BA}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{E0F5D6BC-E673-422B-88AA-351098324427}</c15:txfldGUID>
                      <c15:f>Credit_2019Q2!$V$13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{8A55CD9D-52D3-4548-A5DD-03E76560AC1B}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{52A3491B-2241-4302-85F8-D260DBB779C7}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{9E4A1951-EB08-4FAF-AB8A-9B3B83DCEAC6}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{66E94424-8C29-4E01-825D-ADB42592897D}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{5317B09C-1A06-4A72-9505-D0EB039F6526}</c15:txfldGUID>
                      <c15:f>Credit_2019Q1!$V$8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{5E1FF7D1-3A20-4F2B-8FF2-14C2BC41DC74}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{10B76E74-E036-4143-A856-37B2B5A0E3D8}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{1AF68D53-D2AC-44FE-AE8E-10128B58D181}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{83C10F0D-313B-4412-B38B-AEF086ABB4F0}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{CC78B16E-9962-4FDC-94C6-1B7CD8E0DE67}</c15:txfldGUID>
                      <c15:f>Credit_2019Q1!$V$9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{8A5BBE6D-E041-4CDF-80F7-AB690A03E52F}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{308B3283-6F65-416F-BF4F-D344DB17106B}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{B77A7A5E-4239-48F0-92F0-0A84598BB8DD}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{29FBBC81-BCFA-46EE-9730-9EB511CF6A29}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{31E93ABF-F727-4BFC-B083-4BA27C7A81F0}</c15:txfldGUID>
                      <c15:f>Credit_2019Q1!$V$10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{81CD6981-3598-4BD3-879A-BF0F5BE7C499}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{158BB93D-D798-4BE7-984A-898D8CB31000}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{9CBE006A-8168-4E48-8003-A8E19547EC3E}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{F1F8B4A4-CA12-4761-AF9C-A18FA06CED22}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{8695F85A-0507-428D-97B1-3042D58F5C4A}</c15:txfldGUID>
                      <c15:f>Credit_2019Q1!$V$11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{693D1C45-7E20-432A-9EE2-0B155F5101C9}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{1D913E04-5443-4A52-B24A-3CF01BC28BDF}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{E710A4C0-F4BB-419C-B331-7E2D4E4A6944}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{DB1F15E1-948B-433D-9C31-8CD564CFE9F3}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{513189C2-7D34-4309-A2CB-5C51781CC07F}</c15:txfldGUID>
                      <c15:f>Credit_2019Q1!$V$12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{BE99960B-B8A8-4A7D-8265-59DB2E0C9432}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{E665E958-65A6-47A8-B657-0E498285BEED}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{C5249439-91C5-4A59-ADA3-B224CBF1D182}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{96D6943C-BF6D-42BF-A27C-5386B600BB87}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{DAC8BD53-3B90-45AC-A872-FB46440DFF85}</c15:txfldGUID>
                      <c15:f>Credit_2019Q1!$V$13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{D187E545-E012-4274-93AE-1852CB6CFE66}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{7AB51853-0458-4FDE-969A-8439558A7FF9}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{58293CAE-7D9B-405B-895C-7BE9E84B86F1}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{9EE1E0E8-46B4-40E5-B255-9CF5645D9DA6}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{0CDEE7F3-67E5-4CCC-BDE0-8F2E8F671A76}</c15:txfldGUID>
                      <c15:f>Credit_2018Q4!$V$8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{1BAD2A0B-E893-49FD-9624-1CBEFBA72CDC}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{507281C7-044B-466C-8461-F6EAAFCC231E}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{E50088D8-22DA-407A-A394-0A0FB3C5BCFA}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{25E65363-CA62-4461-9DEA-822942CE74DE}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{C7DD8177-849F-48F2-BED7-49AFA07209CD}</c15:txfldGUID>
                      <c15:f>Credit_2018Q4!$V$9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{C4A73D5D-6178-430E-BB96-6CDFE4F78F80}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{013A9C77-4D4E-46E1-AE14-84E612B664FB}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{AC1DC904-9A9C-4A33-BB8C-603C92DC309C}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{C6ACAB7B-6200-4F42-965C-BCBF3ADF792A}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{D5630263-4C80-49C6-93B4-8977CF86073F}</c15:txfldGUID>
                      <c15:f>Credit_2018Q4!$V$10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{0ED31EDA-9DC4-42C1-A0C4-BBEBD8ABF6B2}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{A5D20566-8CB9-431F-8180-5FF39755962C}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{110270F9-D78C-41EF-B9A6-6D116C266060}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{BF81D744-ED75-4AD2-AF0E-B63C1BF0552D}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{A5C6B24E-05E1-4288-A91B-B0A7463ADC87}</c15:txfldGUID>
                      <c15:f>Credit_2018Q4!$V$11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{D7FECE52-CFAA-4000-95C7-BA7E4F131024}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{FEE04030-4521-455A-B92D-16D3002498A8}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{5DE264FC-BA83-477A-8ED8-A799FA188648}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{E1262B59-1553-4CA1-8E09-581EC8442A7D}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{A7F70F8D-C00D-45B8-A5F5-FE0B2DD126F5}</c15:txfldGUID>
                      <c15:f>Credit_2018Q4!$V$12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{22E2F7E6-02E6-44F5-B09B-550FA9590313}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{35BD6B51-3CEA-45D2-B450-3C56FDBE2D94}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{A97680D0-54E7-48BE-A26B-9AA47ED6A73C}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{CE9EFC4D-4B06-4E14-8593-D6A2A007191F}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{98D65012-C39E-41BE-B9FC-B7B44E097B39}</c15:txfldGUID>
                      <c15:f>Credit_2018Q4!$V$13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Action'!$G$13:$W$13</c:f>
              <c:numCache>
                <c:formatCode>0.0%</c:formatCode>
                <c:ptCount val="17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0.38461538461538464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Action'!$G$16:$W$16</c:f>
              <c:numCache>
                <c:formatCode>0%</c:formatCode>
                <c:ptCount val="17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Action'!$G$9:$W$9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'IV. Direction of Rating Action'!$G$14:$W$14</c:f>
              <c:numCache>
                <c:formatCode>General</c:formatCode>
                <c:ptCount val="17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{D0C4165E-2833-491F-BE22-B66FA4ED4186}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{495DF697-65BA-430F-A902-6B09D3564558}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{E0475ECB-E73B-43CD-815D-471E62D634DA}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{47064695-BBDF-4F8F-A555-DC21F4C1D004}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{CAEAEA64-8A77-4715-AB64-37001A0F230E}</c15:txfldGUID>
                      <c15:f>Credit_2018Q3!$V$8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{D63268C8-811B-4AEE-AE00-92470BE741CF}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{999BD324-8A78-43F5-8A8E-F9AEE0F42A89}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{7227E183-B146-4F9F-A66C-7DE7414FFBCF}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{0D658585-B79C-441A-9E23-346940C8BB7A}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{4127322B-5068-403E-8721-4E8005CA8861}</c15:txfldGUID>
                      <c15:f>Credit_2018Q3!$V$9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{E3533186-D79E-4C8C-9B65-7905855FA585}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{9AED6A3B-7DD7-4985-8BD7-0BA289F00585}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{15D6A5E0-D2AA-45AA-A368-DB59C5C8C8C0}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{374F3D3F-646F-4371-894D-6043EDF9FDEE}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{16ACF22C-E9BB-4AE8-A44B-04A6D15FC4F3}</c15:txfldGUID>
                      <c15:f>Credit_2018Q3!$V$10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{DE5D37AF-F9A4-4983-A3ED-30B2B5F850DE}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{B42F0417-98BD-4BA1-8D99-DAA854FDB66B}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{89A3D66C-BF35-49E7-B54E-3A6588FFCDD3}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{5ED0973A-79FE-4594-8759-56C8A4CC635B}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{2B63B4F7-E1C0-479B-AB39-403E796BA194}</c15:txfldGUID>
                      <c15:f>Credit_2018Q3!$V$11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{549AAB13-64C3-4763-BFEE-CAAB51F94244}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{83483807-0208-4767-BABB-9158F3709342}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{509784F1-F40C-42A1-BBF0-BA5588D6B64D}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{F57E30F0-8E76-4EA7-891B-31FEF0450013}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{CC5764F9-DFB1-4F9E-A538-50ED887823FF}</c15:txfldGUID>
                      <c15:f>Credit_2018Q3!$V$12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{393977C5-6DAE-4154-A23D-DF7E28742FC6}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{2FE4CCD1-D7FA-401B-9F49-FFA46E75A1D9}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{8D858130-5FD0-44E2-828B-ABCE955B6CB5}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{EA0B95D0-64AE-48BC-8B81-54C0C6EE7DB3}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{753E4566-D2AC-466F-AA38-C4D46446A7D6}</c15:txfldGUID>
                      <c15:f>Credit_2018Q3!$V$13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{6951D314-528E-44C3-83CF-D6A8241A2DDA}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{3BE7808B-1B7D-4983-A225-8632B7DDAEFC}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{297B545D-299C-4251-9CC0-0776B00C60D0}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{0F972422-DF7B-40D4-83CD-FED06B6B6364}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{BC114FF4-5E7A-45E4-9083-B754E69EFD1A}</c15:txfldGUID>
                      <c15:f>Credit_2018Q2!$V$8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{B86206CA-79EF-47A2-AE73-547C47461F47}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{C2851C61-E75A-47BF-A25A-99EFA081AFCC}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{069A4D39-6F89-4D3D-82D2-7B1A98C5DC1E}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{DF5F1D81-65FD-48C8-A65F-2C09E342889B}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{C3794E22-56D1-43EC-BA5D-4EAB26A134F9}</c15:txfldGUID>
                      <c15:f>Credit_2018Q2!$V$9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{6DB43E20-687D-4D15-8112-9DAF85D24CF3}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{70616471-DBCB-490D-8EEA-A6A1913C7450}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{04D3C37A-A437-4C70-8763-0654E21B2B39}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{AE4AD5D4-D0DF-441F-8FEE-D70046085577}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{32789E68-6202-459F-99AC-2CF988BFD8D7}</c15:txfldGUID>
                      <c15:f>Credit_2018Q2!$V$10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{A33593FC-E6DD-4423-A319-6659BDA5AC2C}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{E12D23B0-4810-44FC-9205-98B438A2FD18}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{575F9C6C-8533-4901-9CD1-DF81AB06C1D7}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{2C2CE350-57F9-4A8E-BBBE-5765AB5C9AC1}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{B66B141B-4D49-483B-8BAF-6D1E15565D84}</c15:txfldGUID>
                      <c15:f>Credit_2018Q2!$V$11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{43B0B5E4-FC69-4751-A832-BECF9FFD4E20}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{9C7AC89A-379E-4F87-A815-CD654BFA0591}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{E609958E-C957-49D2-B4BB-0A91F45295B4}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{F3A788F7-DB79-49DA-9886-1D81D57738EC}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{CBFBB697-B137-4180-94C0-A050A08664B7}</c15:txfldGUID>
                      <c15:f>Credit_2018Q2!$V$12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{763EF056-82E5-4770-BEB5-159181BD59DB}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{ECE544A4-23ED-4186-A6CB-7956023463FC}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{7F18374D-1789-469A-9E12-82B04387BDC0}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{E1539066-7A6F-4A39-A509-32393D138DC9}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{0112A149-0E61-4B72-9A1D-A5E3BFB23EF0}</c15:txfldGUID>
                      <c15:f>Credit_2018Q2!$V$13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{C212F28D-B924-42C4-9CB5-A488FE9B2977}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{1E355A30-B3A9-4466-980D-E08038F04450}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{020D6A34-9A68-495B-824C-EAAE23FBD26E}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{C1E35CBB-C34F-4315-8664-74560A228B12}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{598CB8AF-EED1-4530-A925-1B68D39478DA}</c15:txfldGUID>
                      <c15:f>Credit_2018Q1!$V$8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{295DBC12-2786-45B1-9FB6-554908A674CE}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{2965BE66-32C7-404C-91CD-C7E32F870192}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{CA2C06D2-CD7B-4368-8A3B-BDE28DE1F85D}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{07B82A0C-014C-476A-9F28-FF14724555C9}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{6DA7AC85-921B-414B-9023-D58802181D1C}</c15:txfldGUID>
                      <c15:f>Credit_2018Q1!$V$9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{6754CCD9-E643-4572-B911-358BA2D81505}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{7730116D-EB36-4251-B0E2-0904D43E9560}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{F41391BF-CEEB-4286-A6C8-E2CED2DA341E}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{B390EDCB-5D28-4C84-8A74-B7F8EED86E3E}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{FA5B9664-CFC0-49D5-B52C-CF49FC92E28C}</c15:txfldGUID>
                      <c15:f>Credit_2018Q1!$V$10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{C8DF9AED-9A3D-4199-9C2C-7ECB199F096F}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{5DEAD286-DDA5-4F0D-9774-EDBB388B7098}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{93DDFFC6-11A1-4948-90D1-152D0E3B37BF}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{A2C4E206-E811-4814-840E-03163DCA080D}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{11D0F0F3-B51E-46C8-9E87-CA0F45BABF21}</c15:txfldGUID>
                      <c15:f>Credit_2018Q1!$V$11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{249D0BD4-E758-47D0-9C9F-E24A891FBC8B}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{60EC844B-8E82-4581-AF4B-6C96CC562EEC}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{3C3CD841-4A64-41B0-875D-ED89F1CA3026}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{EF5C289F-E1BB-42D7-AFDB-1C393483FA81}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{F11FB1FA-9D6A-4FEA-A9E6-79482718F765}</c15:txfldGUID>
                      <c15:f>Credit_2018Q1!$V$12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{E2AAB1EA-3FBC-42F4-8CA2-074D66E2737D}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{6A75BB45-B48D-4579-B45B-C0ED9DD3F47A}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{AAA58021-E23A-4413-BBE1-177C9B24657D}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{A27597B4-5CF9-4C9D-81FD-3C79540C624B}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{860CB9B4-D074-4EAB-9F5C-21CB4715B329}</c15:txfldGUID>
                      <c15:f>Credit_2018Q1!$V$13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{AC66A15F-9BC5-475C-8375-5BEE0026E7ED}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{2708D8CE-3254-483D-9B66-663564E5AF57}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{ACE84B99-6CAA-4ED0-959D-35A954DDA861}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{159001CF-F3BA-4B42-A69D-29398010D820}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{EF05D130-8E11-46C6-ABF3-33FA19BEB38B}</c15:txfldGUID>
                      <c15:f>Credit_2017Q4!$V$8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{06AE7FF1-BBF9-4460-9301-F8C2E24C7091}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{5DF161F3-252A-4CFC-BC02-40B26F40EC55}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{53C06825-55A3-4AC1-9C7B-FF3BB1F33CD3}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{B72E1F8B-8B90-4E41-BFD6-BD5E588858C6}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{7F7CED46-7176-40EE-8E4D-F979A1A281EB}</c15:txfldGUID>
                      <c15:f>Credit_2017Q4!$V$9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{89AE12BD-3491-4E66-BF24-D4FBF84AA73D}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{EA04FADF-7DE1-4313-88C8-04E5979A8DA4}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{98D5FDF8-4BD2-4731-BD63-591FE5A887F2}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{61A37265-F48B-44D3-9DAD-7BC954E0186C}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{B4DE0052-3A3A-4DC0-BE58-D3C7A0392BA6}</c15:txfldGUID>
                      <c15:f>Credit_2017Q4!$V$10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{33375455-C263-4A4F-8CCB-0508ADB9EA32}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{87B1590D-E838-4DCE-9949-4B9C6CA64AC9}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{44893AEF-6FF0-42B3-AB43-396328C7C81C}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{2D7059B1-B7D0-42BB-A123-1A384809FDBE}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{7B9DCE0F-CF7E-470D-AC41-12B79B616AC9}</c15:txfldGUID>
                      <c15:f>Credit_2017Q4!$V$11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{7E6EF7C3-7CE7-481E-ADF7-1DECAB3D373A}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{CF35D27D-1174-441F-9094-88A5AB21C1FA}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{241B6279-F699-4B90-8268-7D85E24771A1}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{351DF799-F666-4F8B-8CE2-3BF62D828F3E}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{405FB41B-A3B7-47F7-8FDE-5877AB804AF6}</c15:txfldGUID>
                      <c15:f>Credit_2017Q4!$V$12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{8866241C-73EE-47C2-9E5E-0987597108D7}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{971AC6F2-56C8-430A-9892-4E51311F6044}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{755B184B-B41F-4440-8322-4ACB23384A99}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{C1E06B31-7BC8-45E3-ADD9-116F2D289D0F}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{D5DA1E35-C162-4CF6-AF8A-66CA67A26B61}</c15:txfldGUID>
                      <c15:f>Credit_2017Q4!$V$13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{47E8EA2C-0C7B-4AB0-BEA8-993FB82FFD0B}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{E46D6E8F-5154-4D16-952B-500FF4CED601}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{169249BD-19BE-4FE8-9195-D8A070CEEF16}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{EEEB2CEF-D68B-4705-87B9-15CA129662EE}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{20DE7C71-67DD-4C49-AACC-21AB9572926B}</c15:txfldGUID>
                      <c15:f>Credit_2017Q3!$V$8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{FD792AED-5E95-4F60-A5D5-E4C5D25569DF}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{FD1C260A-AC23-4005-BC1F-628947A971C5}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{DF68357A-15CD-4768-B58F-6643BC60E78A}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{2F599E16-4174-4248-90F4-3DA0F76DFFD8}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{81184F5C-C2C4-4B76-B7F0-A1FE5C6F4BAB}</c15:txfldGUID>
                      <c15:f>Credit_2017Q3!$V$9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{B95C23B3-E503-4EB4-8CD0-9F4CAE45A17D}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{AB86D5CE-9C42-44A5-94FA-B6B6D81A7E0B}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{4F561430-0CFE-4F14-999A-773A854D9E27}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{D783506A-F91B-45E6-B3BC-AC0443056AE4}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{63564339-7D55-448C-B028-870AFDC04A2B}</c15:txfldGUID>
                      <c15:f>Credit_2017Q3!$V$10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{7475CBF5-B729-4843-A541-565B0B41D8B0}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{D320BBDB-8CE6-4D44-92CD-CED073A687A4}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{889076F3-8DCA-4F5B-BA0D-AA1FA3898572}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{56BDCDDD-30AE-4EAE-A20B-CBE59E531B3B}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{6B8BE3ED-FC41-4C39-92EC-7CE8FF2DCBB2}</c15:txfldGUID>
                      <c15:f>Credit_2017Q3!$V$11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{AC02F4C7-DB92-46A3-9C6E-4C7B1365A55A}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{20711E38-D7B0-4E05-A9F5-7AB1A28A86AC}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{BE7A9DA7-F83D-4AE6-A439-1393A7C0DC5D}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{86A5A8BB-ABBD-44C4-BD4F-B88D3B2A18EA}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{E98AB7B4-3E2A-4511-8409-F14BD5D7F6F2}</c15:txfldGUID>
                      <c15:f>Credit_2017Q3!$V$12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{0C496630-04F2-487C-B430-3105CD1606B5}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{5718CE9A-B2D7-44C7-B36F-B6AA075E310B}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{0AFE7F14-A629-461F-AFD0-ECC1C5F65EFC}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{A6586F7F-6B61-4CE5-9CC6-81FA13E91AF0}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{79AFB2F9-11B6-489E-A750-B7D363FE114B}</c15:txfldGUID>
                      <c15:f>Credit_2017Q3!$V$13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972-4BCA-B52B-60ED7F08F0D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972-4BCA-B52B-60ED7F08F0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972-4BCA-B52B-60ED7F08F0D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972-4BCA-B52B-60ED7F08F0D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972-4BCA-B52B-60ED7F08F0D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972-4BCA-B52B-60ED7F08F0D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72-4BCA-B52B-60ED7F08F0D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972-4BCA-B52B-60ED7F08F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72-4BCA-B52B-60ED7F08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{B17EAAC9-A3DD-4390-967C-90CB97D69E17}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{5FB25860-9975-4EC0-842A-CC7DBA9CDC9C}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{8A0E47DE-FFAA-4880-8ACB-BB00763D491C}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{477DEF01-D335-45A7-A385-2D2A35001815}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{971C5C42-FE7B-4B37-9B85-121A6A926F63}</c15:txfldGUID>
                      <c15:f>Credit_2017Q2!$V$8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{E066CB28-088D-4973-B74D-1073859CD369}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{49BD369F-54A0-4C6D-B8D2-22645E9ECE9B}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{2BA11F35-5724-4CB5-9B71-295694432C3A}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{85A8EBE6-AC42-4F13-A915-54D95562E787}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{FF378D06-F4C2-4CC0-92A1-72DD03417925}</c15:txfldGUID>
                      <c15:f>Credit_2017Q2!$V$9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{808D4227-34FB-48CE-A7DA-65EBF067C0DF}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{91A95B19-300B-4C07-A4BA-B6ABB6556112}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{508141B1-029E-4C63-932D-102E99EBD47E}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{36C56730-A168-4893-BBDD-66C41E0598A7}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{AD293101-9112-44BC-9C29-1B38ABEADF7F}</c15:txfldGUID>
                      <c15:f>Credit_2017Q2!$V$10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{B8F801A6-C6A4-4CCF-B291-39D3AE856CB2}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{ACACFE57-D400-448E-9550-B9B20E4F37A7}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{46F2E82E-6253-4E3C-92A9-952114287ACF}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{7EAACAF7-6B90-4688-ABB5-6241E1D01BC2}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{B885E32D-222C-40D0-BC39-B568BB0A20C3}</c15:txfldGUID>
                      <c15:f>Credit_2017Q2!$V$11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{C28929E5-0C7D-46F0-980B-11FB5BD01D58}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{985DA077-E457-44D1-8498-D0B99F646AA0}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{733DFDA2-CAE9-4F2A-9418-5FD86042FDF3}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{11171D1F-1838-4691-8FD3-F02DBE0126E4}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{C193EA0E-9A91-4679-B0E2-44E0F05DDCB3}</c15:txfldGUID>
                      <c15:f>Credit_2017Q2!$V$12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{7734BD8F-2CCE-4CD6-BBA5-658F47BD2E78}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{99FDE01D-5D9B-44D3-BEE2-100597B9DAF9}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{B9F67192-1A08-43EB-BB55-402EE2427761}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{3F5F6039-E3D4-4732-8889-C9918E867CF9}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{266713BF-A97D-4301-AB91-67C84C62319F}</c15:txfldGUID>
                      <c15:f>Credit_2017Q2!$V$13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{460D27DB-29F5-46E2-AFC7-CC0957AF3F37}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{40D574C0-7F3A-4776-AE77-1FF984966866}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{3FC5BCDF-C1BB-476B-A926-284CEF4133D3}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{C26B0B7B-F4B0-41F8-BEBA-47E1B1041C80}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{89DDCA3B-F6D4-4F80-98F5-3369E568318A}</c15:txfldGUID>
                      <c15:f>Credit_2017Q1!$V$8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{B729D3F9-2851-4B1B-B193-5B77762C6439}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{4B44F8AF-4EE5-46C7-87CC-A367D9CE168A}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{A5D8F9DC-7913-47CB-BE45-CAF3A13908B3}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{DEFF5241-6E2B-4549-BBB0-9E0C6A519881}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{CD0547BB-43FD-4D59-9C30-4AA1101F884B}</c15:txfldGUID>
                      <c15:f>Credit_2017Q1!$V$9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{B92BF9DE-ECE9-499C-A585-BD897C3F8FA1}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{20EFEA41-6F4D-4760-9326-DE15F10E65F3}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{12C06A16-CD31-4BB6-A97D-DD780A7CE44E}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{E1B239BE-F1A8-4FAB-9885-247B52323EFD}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{0691A41E-7957-42B0-A051-95A2388071E2}</c15:txfldGUID>
                      <c15:f>Credit_2017Q1!$V$10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{0EF9D648-2AC5-4BF2-BC43-02FB13F52FC0}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{DF695CDB-29AE-4E9D-972C-3C4940AC1927}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{C77637F8-5AC3-4AA7-874A-626AA213F496}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{015211F5-4FBC-47B0-972B-0B778DCA27E9}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{9D7BBDF2-A0E0-46D4-86B3-BF8A6DEC299E}</c15:txfldGUID>
                      <c15:f>Credit_2017Q1!$V$11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{8176AD22-D509-4A0C-85F0-655B21CF7527}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{17C44960-512D-402F-95F0-C85E3C373F56}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{980FF7C8-CD83-41EB-A9BE-3788A7867490}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{A26B8405-6FE1-44B4-9691-28420DAB1942}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{F77ED372-9E12-418B-ABF9-8D3F06F43CE9}</c15:txfldGUID>
                      <c15:f>Credit_2017Q1!$V$12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{3632CCF9-D368-4975-8CE8-0793DD64B3C7}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{29A9331B-3104-4217-8526-C412EFD8544E}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{BE12A95E-5BB7-4890-BA5A-8172FF763E47}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{DB1EB713-1F77-4A18-8F47-3F28F44EF37C}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{37A6E14F-F27E-4238-8504-2AC7519C9E38}</c15:txfldGUID>
                      <c15:f>Credit_2017Q1!$V$13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{0B44341E-BE39-41A5-BC50-1AE25E7D4A9E}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{95F40F6D-1E42-4391-9065-5D41171330C2}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{593032DE-9CA4-47C4-9320-AD3FB17280F3}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{BE0D4DC0-5C25-4211-A6A9-ED635CFB416D}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{3A17F1CC-4812-46D3-B5DE-97A1866710B6}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{BC840418-2A00-4BAB-9F8B-932C50B7851E}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{2C282F2E-DF05-4476-8368-A7B645F9105E}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{A297C72F-05D5-4639-A487-35FA88BF057B}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{5AB46587-C84E-420A-B314-CEBCFF216D08}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{5500FB92-90C6-416E-B39A-50E86CC34F28}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{E44B8A18-DA9C-4548-8596-C518D5951046}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{9D8B257F-385D-4924-BC2C-BD18188B63DE}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{2FBFB383-55A0-4E23-803F-0B1CE5288891}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{AA443723-8F09-49B0-982E-8397C01B2B8D}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{79F574FE-38AC-40C6-88A5-64792792CE6E}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{0AFE7C4C-2544-4347-8B3A-6BD4FAF55FE2}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{0F212D3B-3836-4EEA-B2D0-C4DD58E1342E}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{7F4AAE2A-7F05-41C3-A34E-FE57E0E86102}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{AD92A397-695B-4614-88F6-BBF6BE284D6A}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{A0FF2589-B77C-4F59-BA8B-1A650370FE31}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{ECD3DC44-AC13-4209-988B-730A1A8C156D}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{3714D8D5-4DD8-4CA0-A176-9445CAECC63D}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{5EF99A63-D275-4D41-B281-7272EE5AE4AC}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{8C4978E9-F02C-4FAD-B62C-3BC3BB34F523}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{1B5E8901-EF19-4145-91DD-412B6B0A5663}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{5ADE7DD6-BBB4-45D7-A14F-E7B4E6058AD4}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{EF913A7F-5374-4234-8D11-7E2EE331E9D9}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{5D3CE8B5-0552-4986-B395-38E95FFD14DA}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{C68528C1-9EC9-4556-893C-964CE69AA827}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{96662971-9938-412F-8D58-5979014D1EA8}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{C399EAB2-DD14-4D51-84B0-3C5E65F97900}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{327EA848-CA7A-4474-9750-F31349E995BA}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{20C37160-5695-4F84-B487-F8E2721373B9}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{3ACF3A59-72DD-479F-A803-DAB6FD808573}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{28320BDE-C43B-40E6-B7FD-14FEFD36E87A}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{2A93AE1F-F679-4A75-BC6D-576B19B6CDD4}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{42991D4E-4CEB-4923-9767-5569A80E8CB9}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{D6BD58F7-7DBC-4074-AC56-7798AF808053}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{54C70B58-57EF-4443-81EE-7BFE1B3EB7E4}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{C2161232-D40B-4A4A-8386-E490E3E9D2B8}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{AE4CE914-9609-4515-8F94-65D3232BC7BD}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{1CB1F9EE-13DE-464E-BBB1-6092838AC791}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{B392B63F-F281-46DB-8089-F1973874C54F}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{91BE5540-F2B2-415A-9C11-6663D6EC0DC6}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{C3FD4D90-080E-427E-A059-3F3B9051FFD8}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{43D607D9-48B8-4B79-AB08-9AA97E586A06}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{B27428C7-35DC-4FC7-A589-66987DA7C27D}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{D678887B-B585-4108-BBB3-55256521A3E9}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{2A5559AF-39BB-4CE1-B25C-DC81CE867F0E}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{FF9A3485-9EEB-45C4-A67F-07CD5F7E6DD2}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{C57FBCEF-8EE2-490F-9321-64A435B5637B}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{7678318B-4778-4BE1-B95D-1FD159D51D1C}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{7B1C9A12-442B-4879-A949-517E504A52CE}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{447FC49D-6C38-4AF6-BDE8-FFE698F2D9C6}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{1B98F3B8-6551-482D-B2B0-4558B1E114D9}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{614A6648-81D0-43F1-AEBC-EDEE5AEE4CC2}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{43FCD6EE-871C-48BD-BB3C-EE318685FEB1}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{C9E32287-F0A5-4B93-81A9-6DD62292EB55}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{7E5ACEFE-C0DF-4C32-9EB9-6333A757609F}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{B055B67F-D27C-49C6-9FBF-451BB1C76285}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{482DAE0E-66CF-40FF-8EFB-62B45A51E39A}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{22740142-7F30-4971-AC18-D9F85D56B1F0}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{F8BAD1B8-5984-4423-B06B-47FBAB0A61A0}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{A36A5B25-6C03-4A11-8BD0-FC060D76B868}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{D3E1F35F-675C-4BF1-A0AD-5A6F8902E9AB}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{216CBBF6-F140-445D-870B-5208CF9180E8}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{38F55EB3-D9BB-4369-924B-6B51F36219A3}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{C464B27E-BDFB-4DF7-9594-30E7BD57463F}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{D3F65100-DBE3-4AD8-897A-D04B335FC008}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{482C6992-B3C4-4964-BCA2-5AF133649590}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{158A94BB-344D-466C-B718-C4B57618087B}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{82349C6C-DB04-47ED-A34E-C08F08E49BBC}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{2C322648-46C0-4AD6-8E51-899D1CA88943}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{59DEC38A-B3B3-4CBA-858D-473071BF2766}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{CCA8CBB4-F7D6-4A69-B338-CD333D4ACB23}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{6C08533F-7B47-4274-8B14-04CD50D560D3}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{59C8B20D-008D-47F8-A101-3216E3EFBA93}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{C6CF1D27-652C-4375-B069-8B50B541CAD9}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{95F3A5AB-55DE-410C-A5A8-2282315F072D}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{D28A4246-1CAC-4025-A66C-E9FF7F390199}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{3971D8C3-5EF8-49C9-9B16-1E3B9D4D3A26}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{907A6373-D311-4B1C-88AB-870D06D20020}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{18E72424-B932-4E9E-82A0-704F8F8DF290}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{AB39DF99-D194-4FDA-A96F-3739C4A60BCC}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{CC9D28F8-F4D3-4571-A52A-A33C0CF363C6}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{AEBFF431-B643-4CB8-B762-7C00D78A40F0}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{17D50B4E-B5DF-4D86-AE44-39BCBE9D4EA2}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{95CEE27D-7CE8-4614-8613-E303B7C75554}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{173B75E0-C136-45DF-A44C-23D80E0D0238}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{892E56BE-B878-4653-8B87-1B49E041691C}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{3E77FBCF-B1E1-437B-B4E9-57FB4635C70B}</c15:txfldGUID>
                      <c15:f>Credit_2021Q4!$J$8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99A-4F0D-A746-4B05EEF06C28}"/>
                </c:ext>
              </c:extLst>
            </c:dLbl>
            <c:dLbl>
              <c:idx val="1"/>
              <c:tx>
                <c:strRef>
                  <c:f>Credit_2021Q4!$M$8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{51E1F2F4-0328-4885-8537-229B44F93831}</c15:txfldGUID>
                      <c15:f>Credit_2021Q4!$M$8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99A-4F0D-A746-4B05EEF06C28}"/>
                </c:ext>
              </c:extLst>
            </c:dLbl>
            <c:dLbl>
              <c:idx val="2"/>
              <c:tx>
                <c:strRef>
                  <c:f>Credit_2021Q4!$P$8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{AFC4F99A-8EA7-4310-92D2-1D929A411611}</c15:txfldGUID>
                      <c15:f>Credit_2021Q4!$P$8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99A-4F0D-A746-4B05EEF06C28}"/>
                </c:ext>
              </c:extLst>
            </c:dLbl>
            <c:dLbl>
              <c:idx val="3"/>
              <c:tx>
                <c:strRef>
                  <c:f>Credit_2021Q4!$S$8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{745D1F0F-DD11-4EDC-9F82-D95129F6B232}</c15:txfldGUID>
                      <c15:f>Credit_2021Q4!$S$8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99A-4F0D-A746-4B05EEF06C28}"/>
                </c:ext>
              </c:extLst>
            </c:dLbl>
            <c:dLbl>
              <c:idx val="4"/>
              <c:tx>
                <c:strRef>
                  <c:f>Credit_2021Q4!$V$8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{EC6EEB62-63CB-43B2-A8FA-C0CE1D28F6B2}</c15:txfldGUID>
                      <c15:f>Credit_2021Q4!$V$8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(Credit_2021Q4!$Z$8,Credit_2021Q4!$L$8,Credit_2021Q4!$O$8,Credit_2021Q4!$R$8,Credit_2021Q4!$U$8)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9A-4F0D-A746-4B05EEF06C28}"/>
            </c:ext>
          </c:extLst>
        </c:ser>
        <c:ser>
          <c:idx val="1"/>
          <c:order val="1"/>
          <c:tx>
            <c:strRef>
              <c:f>Credit_2021Q4!$J$9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{320F82EA-BE7E-4E79-8919-6B6C7A054E49}</c15:txfldGUID>
                      <c15:f>Credit_2021Q4!$J$9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99A-4F0D-A746-4B05EEF06C28}"/>
                </c:ext>
              </c:extLst>
            </c:dLbl>
            <c:dLbl>
              <c:idx val="1"/>
              <c:tx>
                <c:strRef>
                  <c:f>Credit_2021Q4!$M$9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{87DB40CD-06B2-42E8-B1F5-FC661A272512}</c15:txfldGUID>
                      <c15:f>Credit_2021Q4!$M$9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99A-4F0D-A746-4B05EEF06C28}"/>
                </c:ext>
              </c:extLst>
            </c:dLbl>
            <c:dLbl>
              <c:idx val="2"/>
              <c:tx>
                <c:strRef>
                  <c:f>Credit_2021Q4!$P$9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{619345EE-BDEB-41D9-8951-7E0670AEC767}</c15:txfldGUID>
                      <c15:f>Credit_2021Q4!$P$9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99A-4F0D-A746-4B05EEF06C28}"/>
                </c:ext>
              </c:extLst>
            </c:dLbl>
            <c:dLbl>
              <c:idx val="3"/>
              <c:tx>
                <c:strRef>
                  <c:f>Credit_2021Q4!$S$9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{4F3F4785-D568-4073-A64D-8BE83FEE1BFB}</c15:txfldGUID>
                      <c15:f>Credit_2021Q4!$S$9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99A-4F0D-A746-4B05EEF06C28}"/>
                </c:ext>
              </c:extLst>
            </c:dLbl>
            <c:dLbl>
              <c:idx val="4"/>
              <c:tx>
                <c:strRef>
                  <c:f>Credit_2021Q4!$V$9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{4CC4C746-D1A9-464F-8BA7-3D88628567F1}</c15:txfldGUID>
                      <c15:f>Credit_2021Q4!$V$9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(Credit_2021Q4!$Z$9,Credit_2021Q4!$L$9,Credit_2021Q4!$O$9,Credit_2021Q4!$R$9,Credit_2021Q4!$U$9)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9A-4F0D-A746-4B05EEF06C28}"/>
            </c:ext>
          </c:extLst>
        </c:ser>
        <c:ser>
          <c:idx val="2"/>
          <c:order val="2"/>
          <c:tx>
            <c:strRef>
              <c:f>Credit_2021Q4!$J$10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{EDDF03BE-B2BA-4C2E-91DA-7B7FB6F12C10}</c15:txfldGUID>
                      <c15:f>Credit_2021Q4!$J$10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99A-4F0D-A746-4B05EEF06C28}"/>
                </c:ext>
              </c:extLst>
            </c:dLbl>
            <c:dLbl>
              <c:idx val="1"/>
              <c:tx>
                <c:strRef>
                  <c:f>Credit_2021Q4!$M$10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{FF2B8996-859B-4EB1-B4B7-F0E66044ADDA}</c15:txfldGUID>
                      <c15:f>Credit_2021Q4!$M$10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99A-4F0D-A746-4B05EEF06C28}"/>
                </c:ext>
              </c:extLst>
            </c:dLbl>
            <c:dLbl>
              <c:idx val="2"/>
              <c:tx>
                <c:strRef>
                  <c:f>Credit_2021Q4!$P$10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{226FA6AD-E635-497D-ACD6-41E25070BA68}</c15:txfldGUID>
                      <c15:f>Credit_2021Q4!$P$10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99A-4F0D-A746-4B05EEF06C28}"/>
                </c:ext>
              </c:extLst>
            </c:dLbl>
            <c:dLbl>
              <c:idx val="3"/>
              <c:tx>
                <c:strRef>
                  <c:f>Credit_2021Q4!$S$10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{09A733AB-9260-45D7-AE4D-D37085003AB0}</c15:txfldGUID>
                      <c15:f>Credit_2021Q4!$S$10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99A-4F0D-A746-4B05EEF06C28}"/>
                </c:ext>
              </c:extLst>
            </c:dLbl>
            <c:dLbl>
              <c:idx val="4"/>
              <c:tx>
                <c:strRef>
                  <c:f>Credit_2021Q4!$V$10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{4767759F-5C0C-4E8A-87DF-74D03EC6A34E}</c15:txfldGUID>
                      <c15:f>Credit_2021Q4!$V$10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(Credit_2021Q4!$Z$10,Credit_2021Q4!$L$10,Credit_2021Q4!$O$10,Credit_2021Q4!$R$10,Credit_2021Q4!$U$10)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9A-4F0D-A746-4B05EEF06C28}"/>
            </c:ext>
          </c:extLst>
        </c:ser>
        <c:ser>
          <c:idx val="3"/>
          <c:order val="3"/>
          <c:tx>
            <c:strRef>
              <c:f>Credit_2021Q4!$J$11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{08290406-771C-4C3E-B5C5-62490E95800C}</c15:txfldGUID>
                      <c15:f>Credit_2021Q4!$J$11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99A-4F0D-A746-4B05EEF06C28}"/>
                </c:ext>
              </c:extLst>
            </c:dLbl>
            <c:dLbl>
              <c:idx val="1"/>
              <c:tx>
                <c:strRef>
                  <c:f>Credit_2021Q4!$M$11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{358EF876-4485-48B0-8520-C7710C44B1C9}</c15:txfldGUID>
                      <c15:f>Credit_2021Q4!$M$11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99A-4F0D-A746-4B05EEF06C28}"/>
                </c:ext>
              </c:extLst>
            </c:dLbl>
            <c:dLbl>
              <c:idx val="2"/>
              <c:tx>
                <c:strRef>
                  <c:f>Credit_2021Q4!$P$11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{7A561348-873F-4E70-B533-A3617AA742B1}</c15:txfldGUID>
                      <c15:f>Credit_2021Q4!$P$11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99A-4F0D-A746-4B05EEF06C28}"/>
                </c:ext>
              </c:extLst>
            </c:dLbl>
            <c:dLbl>
              <c:idx val="3"/>
              <c:tx>
                <c:strRef>
                  <c:f>Credit_2021Q4!$S$11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{65F3BB88-FB55-4B28-8065-A591D8F0D6F9}</c15:txfldGUID>
                      <c15:f>Credit_2021Q4!$S$11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99A-4F0D-A746-4B05EEF06C28}"/>
                </c:ext>
              </c:extLst>
            </c:dLbl>
            <c:dLbl>
              <c:idx val="4"/>
              <c:tx>
                <c:strRef>
                  <c:f>Credit_2021Q4!$V$11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{76390770-8CDB-4AA7-B7BF-C620AF4A6502}</c15:txfldGUID>
                      <c15:f>Credit_2021Q4!$V$11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(Credit_2021Q4!$Z$11,Credit_2021Q4!$L$11,Credit_2021Q4!$O$11,Credit_2021Q4!$R$11,Credit_2021Q4!$U$11)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9A-4F0D-A746-4B05EEF06C28}"/>
            </c:ext>
          </c:extLst>
        </c:ser>
        <c:ser>
          <c:idx val="4"/>
          <c:order val="4"/>
          <c:tx>
            <c:strRef>
              <c:f>Credit_2021Q4!$J$12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{790FA9A3-EA87-42E4-B1CE-5FFA62F5AE65}</c15:txfldGUID>
                      <c15:f>Credit_2021Q4!$J$12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99A-4F0D-A746-4B05EEF06C28}"/>
                </c:ext>
              </c:extLst>
            </c:dLbl>
            <c:dLbl>
              <c:idx val="1"/>
              <c:tx>
                <c:strRef>
                  <c:f>Credit_2021Q4!$M$12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{CADBC3FE-2FFC-4CBB-ADC5-88E39F20BE74}</c15:txfldGUID>
                      <c15:f>Credit_2021Q4!$M$12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99A-4F0D-A746-4B05EEF06C28}"/>
                </c:ext>
              </c:extLst>
            </c:dLbl>
            <c:dLbl>
              <c:idx val="2"/>
              <c:tx>
                <c:strRef>
                  <c:f>Credit_2021Q4!$P$12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{C51CE2AA-1D60-4B9F-BA1C-48830A346363}</c15:txfldGUID>
                      <c15:f>Credit_2021Q4!$P$12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99A-4F0D-A746-4B05EEF06C28}"/>
                </c:ext>
              </c:extLst>
            </c:dLbl>
            <c:dLbl>
              <c:idx val="3"/>
              <c:tx>
                <c:strRef>
                  <c:f>Credit_2021Q4!$S$12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{D150D074-5A5E-46ED-BDD6-3B1F2EE469E5}</c15:txfldGUID>
                      <c15:f>Credit_2021Q4!$S$12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99A-4F0D-A746-4B05EEF06C28}"/>
                </c:ext>
              </c:extLst>
            </c:dLbl>
            <c:dLbl>
              <c:idx val="4"/>
              <c:tx>
                <c:strRef>
                  <c:f>Credit_2021Q4!$V$12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{FE71CAB4-021E-48E4-9F6E-CE3B4604B5A6}</c15:txfldGUID>
                      <c15:f>Credit_2021Q4!$V$12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(Credit_2021Q4!$Z$12,Credit_2021Q4!$L$12,Credit_2021Q4!$O$12,Credit_2021Q4!$R$12,Credit_2021Q4!$U$12)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9A-4F0D-A746-4B05EEF06C28}"/>
            </c:ext>
          </c:extLst>
        </c:ser>
        <c:ser>
          <c:idx val="5"/>
          <c:order val="5"/>
          <c:tx>
            <c:strRef>
              <c:f>Credit_2021Q4!$J$13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{11EB2BF2-0067-4973-855B-F5AD1FEF75DF}</c15:txfldGUID>
                      <c15:f>Credit_2021Q4!$J$13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99A-4F0D-A746-4B05EEF06C28}"/>
                </c:ext>
              </c:extLst>
            </c:dLbl>
            <c:dLbl>
              <c:idx val="1"/>
              <c:tx>
                <c:strRef>
                  <c:f>Credit_2021Q4!$M$13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{69E5AAD7-9780-4F9D-962E-FEE479994F2C}</c15:txfldGUID>
                      <c15:f>Credit_2021Q4!$M$13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99A-4F0D-A746-4B05EEF06C28}"/>
                </c:ext>
              </c:extLst>
            </c:dLbl>
            <c:dLbl>
              <c:idx val="2"/>
              <c:tx>
                <c:strRef>
                  <c:f>Credit_2021Q4!$P$13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{A76630B0-044F-4B22-B9F1-B81D00D188F7}</c15:txfldGUID>
                      <c15:f>Credit_2021Q4!$P$13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99A-4F0D-A746-4B05EEF06C28}"/>
                </c:ext>
              </c:extLst>
            </c:dLbl>
            <c:dLbl>
              <c:idx val="3"/>
              <c:tx>
                <c:strRef>
                  <c:f>Credit_2021Q4!$S$13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{4C43664D-74D5-47E8-93D2-E7A011A13ADE}</c15:txfldGUID>
                      <c15:f>Credit_2021Q4!$S$13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99A-4F0D-A746-4B05EEF06C28}"/>
                </c:ext>
              </c:extLst>
            </c:dLbl>
            <c:dLbl>
              <c:idx val="4"/>
              <c:tx>
                <c:strRef>
                  <c:f>Credit_2021Q4!$V$13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{D12490C7-F82A-473A-AF1A-9AF42DB45758}</c15:txfldGUID>
                      <c15:f>Credit_2021Q4!$V$13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(Credit_2021Q4!$Z$13,Credit_2021Q4!$L$13,Credit_2021Q4!$O$13,Credit_2021Q4!$R$13,Credit_2021Q4!$U$13)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9A-4F0D-A746-4B05EEF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{A8DC4A2A-AD49-4EF4-9B99-A7B7F2E5D5BB}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{9D4A1639-55E2-4391-B92E-959238408BBB}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{2749E9AE-DAF0-494F-8735-4FA714269FC9}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{DCE0560B-2B0F-477C-BD98-A22826C00311}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{66529854-376E-4ACA-8485-B3655A007861}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{9D9C736A-37CD-4ABC-8D18-EE423A3A89E1}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{F8DF1DDA-0B94-412D-8707-A3160A31E038}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{D06811E7-773C-4B10-AFE6-34AB0D32333F}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{FFADB604-356B-4647-AF03-C9BFC42EE91F}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{F42D293E-5164-426C-8F6E-7F8FF2734A7A}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{FF381995-EC58-4D2D-99B6-D766C7569F56}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{AB61E781-D539-4AB6-B3EE-1B5EEF52F07C}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{8C3BA073-7F52-4503-9ED9-5707B7A4BBF1}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{F3A64075-0258-414F-BAB3-62771A9D216A}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{5596EF1F-4170-4FE1-9B09-E2F260C592CF}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{53E4A0AA-71A4-49BF-A31F-0803F5923CD0}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{22CA377B-BCDD-4F67-BC50-37FACB149E41}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{FAE1BA4B-6A19-40C1-8FDE-2FCCC61F2D3B}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{699BB9CC-E212-4170-8F42-14EC3EF67BAA}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{7DF12BF1-65B4-4653-ABEA-35CF13745582}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{B9376F4F-AFAC-44CE-B507-10ECC3646FA3}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{5BD83885-5DEC-4768-B573-D5A5B1DF4767}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{48C899E8-32CE-47F6-99FC-B3F51429930D}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{C05F9E67-00E4-4A06-A6D0-725F1C0D5EC2}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{EB608A20-CA5F-444C-B4FD-CFB782D9D4E4}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{B57C6E6B-A491-4621-8775-6CA2EDDB2A17}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{CDECEF40-52FF-444A-9B88-FEEC50DE0BCB}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{12E70762-A52F-4C14-A50C-29370344CF6E}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{CAAFD690-4FF5-4206-ACCE-B394AEAAB9FA}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{951A6827-EEB4-4B20-B32D-1DB960E1D120}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{9F98C972-09C3-45EA-9FB6-45BDB7370378}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{9AE7C8ED-8103-47DE-8D0A-A30760D4BF28}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{60665DA2-9373-456D-B950-F266E08B0563}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{D0F5F17E-175E-4EDA-9DD7-58681926685E}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{67C63CA7-1AF6-4176-BAD8-9AC91A087781}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{A948CA53-5E48-4DEC-9A36-208BB8EE9BA1}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{D8C289CD-2936-477A-8435-B22FD4EC7D47}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{8DFF765E-9E99-45C9-9B36-94167A8354E0}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{60606469-C9EE-463F-875C-BCFA184871C5}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{8F9DACEC-789C-4346-89A3-87EC79C5031E}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{E231F5A1-FA38-4986-B5BB-D8A8046F0E08}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{AFB5F5FB-7DD8-468C-9483-772F75C065C2}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{1B16E068-5BCC-43DF-8673-404584302FE9}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{83A47F44-E5AF-4A52-9251-6FAB5EDD3A75}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{8F40C850-7424-43FC-902F-E506AA8A9953}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{9133FFE2-14CE-4D29-A298-4D63D372154F}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{73D09CCB-1861-49C8-8F63-D37E09E1D77F}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{2AAC97EE-5CC5-46A7-9AD6-3FF61547F422}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{B9343D98-C4AE-4B2E-A36F-415294D5A2FD}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{14A39861-2B36-4F8A-81F8-CAABC0D9309B}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{5F636D04-7E57-4659-8131-7F055A259B24}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{7195CE52-BB69-405F-AC16-8BB782A9FD0B}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{6ACB5D88-A9DD-460E-8C40-B57870057E01}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{005E33D5-82C3-4EA8-AFEE-37761326A884}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{1E11E38E-B65B-49CC-BF2C-4BEA7BC51671}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{4E541697-B841-432B-BF16-E674D57097B5}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{4623BC62-615E-45E2-80D2-D374A49AFED2}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{25016A50-BE3B-43C2-8192-1C035B4CBA83}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{2757004F-C5E9-4EB9-A2BA-3AF25FFFD935}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{562AC1BA-BBED-4E49-9566-19ACE61FCFCC}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{9C1A8266-D11C-4D84-BE6D-C771E4FB8545}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{1E632BC9-5DEC-4EEB-93E5-B702FB2C0E4D}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{8B11383C-015D-41A4-A29F-F2BCF8FD365C}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{606CD2D9-B0F6-4C9E-8FF5-647E7D8897FF}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{382F4056-C558-456F-A9EE-85936CB97B28}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{81787D54-D07E-4042-83F6-8D0597D23707}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{A70C7256-B1C8-4C86-8D81-57747B7FD527}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{71277A36-73C0-4C0B-B7E5-50A13514ABDB}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{CF899B5F-36D4-401E-BB4A-DEB0634A86F5}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{5EDF4794-9AB0-4D3F-9CD1-C122B4B72465}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{BE420A6C-81DB-409B-B8CF-360FE3CA1EDC}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{400E355B-A948-48BD-BD2B-C99030A9A796}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{B35C5B65-D17E-4046-88F9-917A2657C3E4}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{0042CCC5-1DFD-4CE2-872C-288B8E61122F}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{BFC85D76-EFE9-430E-A8F6-4F552B342AB9}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{DAF0C2BE-66EF-44B8-BD43-AB1401B39CBA}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{0D9C1049-AC7F-4FC7-9C8C-ABC61532F4C5}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{B0B87D92-7851-4427-81E5-B33B3B538EC7}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{D710DB7D-2624-444D-BB75-662EDF7F2879}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{66AD742C-F223-4CE4-8EE5-516AF77B37B4}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{A81C938D-6CD1-4FBB-952D-E28B059F7DEB}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{4C44F56A-F984-4F48-B5E8-34ABFD0DA7B1}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{0E8B6D4F-B7E6-4D06-9296-CB16D066D51A}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{8BE9F004-C28D-424E-BCFF-E4ADA2E089CB}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{2413D7E9-33C6-4D25-8905-4F0C21B0F26F}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{3AD02499-A63C-4CC7-9ACD-5551547B53EF}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{261A7429-F554-443B-8D16-501D3F20F54C}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{AAA2C27C-7785-444F-8BDF-8E4A0EE81118}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{21581280-4F6B-432B-A333-5C4AA77C9FCA}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{1427C4D8-20F6-4C88-9176-5BD39E5D5F2D}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{9ED2355D-729F-4360-A3C2-24840E824BCB}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{F246E713-592A-4C0C-9824-F39B3B2B493D}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{9BC8D022-C5A2-405D-8F15-13EEA79804A8}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{CEF5EC64-846E-47B1-A931-50E5DB50D54D}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{CB676693-C4B7-49F6-AC73-0E363F33CDB2}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{01935E31-69A2-42FE-AD8B-07BAF08235E0}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{B9209935-A858-4899-B151-7B066993D427}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{1BE5F90C-859A-4F5C-93D9-D6CBCB65C6AC}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{B07229B1-AC49-498E-8AE1-9123DB4584E6}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{41C61718-7D9D-4662-B2E3-915EBC30C1AE}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{F02A640C-D48B-4BFA-91A1-8D0D31327A5E}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{1759E325-DF25-454B-B0A8-F447544AC52B}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{D31AD9FC-5446-4B16-9002-9FD2C54C35B4}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{6E7550A0-BA21-4804-A684-630205880A70}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{A9314E83-3233-4263-B3E1-81CC826C8B46}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{2A84B5B4-36F5-41B8-8885-7CE0DCBFE5C7}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{7E679B27-E7A1-4D69-9D7F-66CBFCB0535C}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{A3EFFE12-A11E-4274-AE21-6D1A0DE8A64D}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{A279F91F-1C80-453E-B64B-B983E4E4E074}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{75B1B175-2888-4276-9210-22519F5CC830}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{BD51DBB4-4131-4B34-9C8E-EFF6A442B76E}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{B0834835-6BEA-46CC-A95A-47D570A064ED}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{4F96B7DA-5F4F-49D8-BDF2-18B8157035E9}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{EEEF8BC7-B11F-41D4-9428-736B7C202FEE}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{16FF0472-2D57-4593-B00C-BC2B4431688C}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{1B0B3259-358E-4D3F-9989-4DA10ACFF9A1}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{476339EE-741E-4F20-8897-0F0BA2B07832}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{59055FD3-EF5A-4357-BB70-4432A993BE9B}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{1C6D51C9-48F0-4368-8FF8-F0D1C8559F7C}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{D1AE9CD4-82B5-4CDD-AD7B-06BEFF83D770}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{71068A05-3874-4C96-B906-4E2DFC3FE507}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{DAA715A5-82A7-453C-917D-2A82CEFE1B63}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{46A2B6B2-DA12-4B41-9F62-A5A1F1FD05D7}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{27599045-4F2C-4862-8402-55B76E3C091D}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{32D4F170-F636-46DE-BE0E-95D745A6501A}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{0E5B4AC5-63D1-4AD7-A65A-0F4C95D8C82E}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{1DB154CA-2908-41FB-A627-11AA50122FB5}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{4D5A609B-E9F1-4AB3-812A-2792FCD41CBA}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{9A35D120-6ED3-49B2-BBA4-5D23EF8C2B76}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{9B01788C-9C16-4D1D-AC4F-0FC89FE4C7B9}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{B6BAA447-88DC-4E2C-A504-33EAF6D1AFAE}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{0862E12A-2187-468D-ABDB-CAFE3E0D61B3}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{B379344C-5E12-4FDB-AF15-BFA3B58BDE5E}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{24DA05D5-085E-4867-B654-D029ED65BBE4}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{4E2D3CE2-657F-40A3-8F21-3119AA32816B}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{FE759B0F-8E99-4160-8A7E-8BE44FDB73C4}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{375B9C3C-C450-40FE-9620-321BC9276F4F}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{B01CCF19-3C13-40C2-A74A-AEFFB1D7164C}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{9363F71E-A465-4C8B-8862-EA305CCD0164}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{25BF531E-5341-469C-892B-93CDCCB03C5D}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{D2E081DE-78B9-443E-B955-A968766F03B6}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{ADDAA101-FC02-413D-A8A0-F803EF73DA58}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{2FF314D8-C60E-4F83-AF53-33D4BD97C416}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{5C49F446-7BBD-469B-8E67-C46C4429CB1D}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{7989A793-9D12-4B87-AD1F-28E64E9019BA}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{D9BA5348-8D56-461F-87BA-A7F5B66537E1}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{802112B5-1FD3-49E0-B62E-062E1E5E827A}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{86438A66-5655-41B2-9656-F31842792C98}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{7F2129CC-C45E-41B4-BF91-A68239A447D0}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{BBE2B490-0EB9-42B0-A902-11A585E87DCF}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30-43C6-A275-65D7D54903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30-43C6-A275-65D7D54903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30-43C6-A275-65D7D54903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30-43C6-A275-65D7D54903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30-43C6-A275-65D7D54903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30-43C6-A275-65D7D54903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30-43C6-A275-65D7D54903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30-43C6-A275-65D7D5490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30-43C6-A275-65D7D54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{AADCF8F1-E430-4962-9D02-FF0FE2EAE071}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{35D6C552-869A-4DC0-A6CB-AB71CAF72916}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{16213B31-F396-4048-A272-E40C56BA616D}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{ED1035BA-0175-4F5A-929D-43BE1AD22885}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{4BCD1E7A-41F8-4878-9825-FA5EDD482F7D}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{888F1F4C-3F5E-4697-9E55-DD41C023B15C}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{DE086CF0-06FA-459E-A5F5-E8FE3406AB23}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{A65A4C6A-33FE-425F-ACD6-44321A0C5F4C}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{F6E4EDE1-A190-4192-87CA-C234C7146D27}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{32C79FD3-4FB9-4016-B284-A28DA786F7E6}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{9DAC4261-2EE6-42BE-BB27-5CA49267C56B}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{FAE3F10C-81B4-4D67-8B97-7124F6AF5D8B}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{6BCF5684-B74F-4A6D-8B3C-0789CA3F33FA}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{9357742B-9F61-4DD3-A76A-A0D61DAA8587}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{63FA2D96-8B70-4385-9679-7422C2A12146}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{7F7CFD2E-67A5-4DA4-90EE-0E50AE0D8730}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{C2AE1549-B4C1-44E4-A159-9911C3A46760}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{9829B8D9-41FD-4772-98ED-A3082DA48B58}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{40E251CD-DE28-4522-B0F9-E0EA85B32501}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{A1011413-7C6E-4050-B609-FA1083C75AF3}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{E7C8385F-C224-4694-961A-4DD4B6779260}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{F6A90276-4583-48BA-8993-B9AF61525D19}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{2AC91369-E0DD-4E21-B321-9C915C2CCF51}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{647B24F2-9D81-4991-B216-656B4554087B}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{4CF022C1-FBD5-4352-8750-1C77B118DDC1}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{53B7428C-EDFD-436B-A220-40F13D302CA9}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{63BB1EDF-E9BD-410D-A5C0-DB2A105AE40F}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{A4C7B95D-EEAD-4D07-B264-70C1B71951AF}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{6C7FC7E8-2F7F-4072-BB99-FA8C11096F21}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{AC44CC7D-7EAC-490B-BFAA-43E45641D377}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{3EC93924-39DE-4142-8A9D-E6E0A1B916CC}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{CDE40DC5-25B9-4682-A4B1-EE2365CB3277}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{46844B5E-97E0-4C12-A0A7-D8A0B08A950C}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{5B332087-4848-4734-9E14-E5D9DC57BBDC}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{DA31FE63-50BB-4558-B4C0-92382E8D4FCC}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{482A1B26-9183-454B-B40E-54598CCADB15}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{196D3535-4805-465D-A4A7-7F9B7E9B0725}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{579C39B5-4909-4CE9-8BEB-8DD1D5F62A62}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{F317857D-166E-4E7F-ABB7-5EAF07403564}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{B31BE2A9-AE09-4ACA-A8EF-FD399B6D6251}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{1EC256F0-DEEF-4E48-B586-31A0EB56D573}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{E0013CDC-2903-4B54-AEBE-887F8173BAB9}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{D80DBF93-D092-4D39-9161-B7DD652988FA}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{2C3B2EE1-447D-40F4-B74F-5A846386A3E6}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{2331AAD4-4CED-4BC5-8CCD-EBD97F76A9D6}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{1E63E0D3-AF7E-490E-9634-264FC81DDEAA}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{ABEC7562-7721-46E6-8784-A464FB1ABA46}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{AAC405DE-B0A6-45EA-8046-EFE9D2DC411F}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{598B8F7A-DC29-4A35-A6A7-07C6C591279F}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{E5C40A2B-4BC6-456D-B29C-2AAFC00946A9}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{4BACB37B-906E-4776-9E9E-A8CEF929CBED}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{5F86C781-560A-47DB-BA5B-80C597942306}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{F0FE7FD1-9BF2-4340-BF36-EC7DF01E94EF}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{C6CDF18C-4908-4106-B554-584AD49CDDCB}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{79B36826-C16B-4465-9200-2865AF530ADB}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{F4BC4F68-BA10-4156-B102-65FA81C51B3B}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{BB21A1A8-F355-41E5-B735-5D17A633335F}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{40CA177D-05A5-4B37-9415-0243697D843D}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{A0D21DC4-534E-49E5-8C33-84B076A5D9A1}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{221BD30C-83A1-4B58-91B2-EC81AA631F77}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{03924AEE-FEAB-4692-A7A0-65F96155EBC4}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{0CCF68C8-EB7C-4406-A7F6-38D6A43E2B18}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{9CD6B32F-2F5B-4126-94E5-3A18036295B0}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{D6781253-31BF-42E8-9E60-0C66487450E5}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{68B7F3A2-6824-4B54-B049-E5028FE3846F}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{FCA59781-D99A-4DA3-83B7-96180E007E88}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{45347696-5E51-4239-8F67-545911AC1E02}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{100C3303-ECB1-4B23-B641-C7A0ACE57528}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{A6F189C3-8850-4796-90DA-A6AA2627A609}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{5A6E3DDA-FD98-41CC-AD53-3C8FF2B6D3AD}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{A7901D19-6B07-4CF3-8BF1-3AD7F3FF724D}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{1DF5FE89-1241-45AC-AB90-DA5104230756}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{897E38E1-48DA-4CA4-9983-C4D4862CA762}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{2F6B5837-979D-4980-B847-E350C50DC1F8}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{9AD1C385-2078-4E11-92F1-1C12691DCB31}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{53A42CA4-AB00-4DD2-87ED-C2A0CE1C9A3B}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{FCB1A0F3-CE8F-4D1C-8A2E-A4D49AA2CE79}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{9DC4BA0C-818B-4AF4-8D7D-886CDD2CAE82}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{CF46B67A-BB55-466D-88D0-F334037EB491}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{9B2265F0-BD96-43C8-BC78-BE876A4FC55A}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{1D15CCD0-94F2-4742-BAA8-7A7AF7A1DE04}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{AC93030E-2F4B-4653-B1DB-CCC8CC026866}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{6165A3D2-6EE5-4703-A6EC-895092004682}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{74AAFCCF-79D0-429A-83D6-43564E87C1FA}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{ECBE6F63-25B3-4AF8-BA7D-E7B62759255B}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{900574D7-84D4-4ABC-8783-AC6C8288C686}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{20A90E80-BF3F-42C9-B3DF-DCEE181CAE3B}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{E47A0432-6C31-4B01-8686-C407FFE11D90}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{E3D65FB2-FA99-4394-A65C-519B6DE8D623}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{C4DB072A-6018-44E1-957F-265045F39A12}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{D5F8A30A-D7D3-408B-990B-C01E978A4679}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{3A9BEC30-A995-4A3B-B545-5DF015931988}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{EB9228A3-737D-4898-BC07-6FFC1C1D10A6}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{24960210-1631-48DC-AC1B-0A3F9AE994CD}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{3FA19665-CC7C-47D1-84A8-F7EC61C1EFDF}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{0ADC62B8-9A71-4672-916E-13C25873CDF5}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{8780F044-F442-4F52-BC8A-2702FA38B82C}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{B733403C-57C9-46B3-BC0C-08BF88CD563B}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{636FB978-A578-4C6E-B88B-6B73D6EDC823}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{925BFFF0-E2A7-4C67-8228-CF5C7A41A421}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{C6E1D733-88E9-4E4D-9562-FFFB2397F9DF}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{F267EAAF-B531-4995-B15C-39F820A93C22}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{939ADC34-F444-4082-A200-C15A6CD6ADDA}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{701A5008-1843-4B2C-B152-9386218C03CB}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{C4329B83-6BF4-4127-BEF7-1216F417CE60}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{4002FB6A-8740-40AD-9DF5-F7F210F056A3}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{A53BB174-4C6E-4F04-BFCD-54627AEA22CF}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{42201916-1C77-40DF-A22E-E060548A1957}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{B3F96B72-F103-4569-93DB-72FC681C74F6}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{88D81DE2-4E57-4AD2-9E5B-AEF8CDAC23C6}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{D07F16B1-AE5B-47ED-8E84-0A3A517CA766}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{2B1B4F5C-32AA-46FB-AABA-2B62E8715C9B}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{67111BA7-F92C-4684-89BF-B940A283AB57}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{1EFDF026-BE79-4C36-97E9-64DFA8B63283}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{9CDD9139-BCFC-44A0-BF41-7FD3BDF3E887}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{089EE88D-0C53-4238-839B-603975B58447}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{12DAF777-2395-4C96-B01B-FBD37B97DE64}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{76FE70BC-3776-4F10-9E7E-617FE1062A97}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{34182ABF-21C2-4210-A065-A43DE1A99C10}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{B3E9E72A-7B3D-496C-99BA-60177CCE5D04}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{AAC4050B-E867-4BD5-B1B3-48A072D1321A}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{54199A49-3068-416A-BD43-A701488D4236}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{58CE9536-916D-46B7-9A5B-50C8357AA408}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{6E3E0A1A-92AB-4E41-9DC0-3A7E48F7E324}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{BEF9A7E5-4A81-4965-BB50-B5A64342F430}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{7BA18467-A89F-4E11-9E2C-2A61B60B907F}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{32534EE3-9A88-42B4-8BF0-7AEA8C58FFF9}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{7C752238-7EE2-4ECB-BB7D-4403C7C6761F}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{BD6A4B4D-4CBA-4581-8F77-BEBC07A7C0D0}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{864F068E-1E30-48F6-B7CE-FFE1A7D2EFB9}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{6104F634-99F7-45BF-9A01-5D9F8654C44F}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{3DB80205-477C-41C9-A070-D97FB172951B}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{AC4EE4FC-D337-443A-B092-9F7F5AE3B924}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{98093DFA-0E3D-4672-B841-EC297878C11A}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{D1A6E7F8-8578-4D5A-8930-DEAB9F970EBA}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{2116D1D1-B747-40E3-9ABC-46B9F3D0D106}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{5588EDC6-6694-4E46-8721-1E2159F2B632}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{2883A307-1272-426F-A6F8-06098A2A5A08}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{AC426929-32DD-4CAE-A8C4-15898AAFC1E3}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{3EB2E18E-A66A-4C49-8EA9-BCA20063A6FD}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{F29E760D-298C-4C6B-9511-0680F675FA66}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{DBD5AE2B-6088-4E00-BB6F-96DBCF761E55}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{711CD451-D9E3-459D-AA5D-1A0DD5DD861A}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{ECFFFA0C-2914-4288-B05C-02ABDEA14C2A}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{DD191D5F-4681-41AC-ACE5-38AA1A846EAA}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{5BE921E9-D6C8-445E-86CE-411BDC7F8436}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{2BB0D6F2-CC65-4FA8-AF15-22E4D48DC6DC}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{8C77A266-92F2-411E-8615-989ECE225A33}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{25633055-D208-497A-BD6B-AF45E576AA3E}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{669943BE-B8BA-49F2-B577-90A2F7FD40C3}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{0AAB77B0-A811-4952-96C5-64FFDDFD1CB2}</c15:txfldGUID>
                      <c15:f>Credit_2021Q3!$J$8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8B0-400D-8A95-3930526E0D7F}"/>
                </c:ext>
              </c:extLst>
            </c:dLbl>
            <c:dLbl>
              <c:idx val="1"/>
              <c:tx>
                <c:strRef>
                  <c:f>Credit_2021Q3!$M$8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{9834751B-DB82-4C76-BFE2-307285B9A819}</c15:txfldGUID>
                      <c15:f>Credit_2021Q3!$M$8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8B0-400D-8A95-3930526E0D7F}"/>
                </c:ext>
              </c:extLst>
            </c:dLbl>
            <c:dLbl>
              <c:idx val="2"/>
              <c:tx>
                <c:strRef>
                  <c:f>Credit_2021Q3!$P$8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{C373AC3F-0EC9-4AE0-88E4-2EA61ED8EA56}</c15:txfldGUID>
                      <c15:f>Credit_2021Q3!$P$8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8B0-400D-8A95-3930526E0D7F}"/>
                </c:ext>
              </c:extLst>
            </c:dLbl>
            <c:dLbl>
              <c:idx val="3"/>
              <c:tx>
                <c:strRef>
                  <c:f>Credit_2021Q3!$S$8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{DE42DFCC-D250-4916-BB54-B95F3738349B}</c15:txfldGUID>
                      <c15:f>Credit_2021Q3!$S$8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8B0-400D-8A95-3930526E0D7F}"/>
                </c:ext>
              </c:extLst>
            </c:dLbl>
            <c:dLbl>
              <c:idx val="4"/>
              <c:tx>
                <c:strRef>
                  <c:f>Credit_2021Q3!$V$8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{43E4C850-6BEC-4179-BECF-21A80AD14216}</c15:txfldGUID>
                      <c15:f>Credit_2021Q3!$V$8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(Credit_2021Q3!$Z$8,Credit_2021Q3!$L$8,Credit_2021Q3!$O$8,Credit_2021Q3!$R$8,Credit_2021Q3!$U$8)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0-400D-8A95-3930526E0D7F}"/>
            </c:ext>
          </c:extLst>
        </c:ser>
        <c:ser>
          <c:idx val="1"/>
          <c:order val="1"/>
          <c:tx>
            <c:strRef>
              <c:f>Credit_2021Q3!$J$9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{46D94D3A-AD3A-4C43-AE38-5D07CAD97BF7}</c15:txfldGUID>
                      <c15:f>Credit_2021Q3!$J$9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8B0-400D-8A95-3930526E0D7F}"/>
                </c:ext>
              </c:extLst>
            </c:dLbl>
            <c:dLbl>
              <c:idx val="1"/>
              <c:tx>
                <c:strRef>
                  <c:f>Credit_2021Q3!$M$9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{CE2E9370-BC61-4CC1-9339-920599E00510}</c15:txfldGUID>
                      <c15:f>Credit_2021Q3!$M$9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8B0-400D-8A95-3930526E0D7F}"/>
                </c:ext>
              </c:extLst>
            </c:dLbl>
            <c:dLbl>
              <c:idx val="2"/>
              <c:tx>
                <c:strRef>
                  <c:f>Credit_2021Q3!$P$9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{0C7533B3-3F3F-4378-B429-CBD42A12C408}</c15:txfldGUID>
                      <c15:f>Credit_2021Q3!$P$9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8B0-400D-8A95-3930526E0D7F}"/>
                </c:ext>
              </c:extLst>
            </c:dLbl>
            <c:dLbl>
              <c:idx val="3"/>
              <c:tx>
                <c:strRef>
                  <c:f>Credit_2021Q3!$S$9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{452725E1-1800-4DA9-9F6F-EB6D1E5F5D2D}</c15:txfldGUID>
                      <c15:f>Credit_2021Q3!$S$9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B0-400D-8A95-3930526E0D7F}"/>
                </c:ext>
              </c:extLst>
            </c:dLbl>
            <c:dLbl>
              <c:idx val="4"/>
              <c:tx>
                <c:strRef>
                  <c:f>Credit_2021Q3!$V$9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{0D33F1BA-F57B-4C42-8573-C8E319F48AE6}</c15:txfldGUID>
                      <c15:f>Credit_2021Q3!$V$9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(Credit_2021Q3!$Z$9,Credit_2021Q3!$L$9,Credit_2021Q3!$O$9,Credit_2021Q3!$R$9,Credit_2021Q3!$U$9)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B0-400D-8A95-3930526E0D7F}"/>
            </c:ext>
          </c:extLst>
        </c:ser>
        <c:ser>
          <c:idx val="2"/>
          <c:order val="2"/>
          <c:tx>
            <c:strRef>
              <c:f>Credit_2021Q3!$J$10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{141BAF5B-D5D8-4A02-AA3B-E4D8487197D9}</c15:txfldGUID>
                      <c15:f>Credit_2021Q3!$J$10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B0-400D-8A95-3930526E0D7F}"/>
                </c:ext>
              </c:extLst>
            </c:dLbl>
            <c:dLbl>
              <c:idx val="1"/>
              <c:tx>
                <c:strRef>
                  <c:f>Credit_2021Q3!$M$10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{7AB8268E-86C0-4382-B3AF-B1FE0A5326BB}</c15:txfldGUID>
                      <c15:f>Credit_2021Q3!$M$10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B0-400D-8A95-3930526E0D7F}"/>
                </c:ext>
              </c:extLst>
            </c:dLbl>
            <c:dLbl>
              <c:idx val="2"/>
              <c:tx>
                <c:strRef>
                  <c:f>Credit_2021Q3!$P$10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{AD3EC33F-CAF9-4991-A67E-1C58504E1852}</c15:txfldGUID>
                      <c15:f>Credit_2021Q3!$P$10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B0-400D-8A95-3930526E0D7F}"/>
                </c:ext>
              </c:extLst>
            </c:dLbl>
            <c:dLbl>
              <c:idx val="3"/>
              <c:tx>
                <c:strRef>
                  <c:f>Credit_2021Q3!$S$10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{69C89DA7-B2D1-4A46-8930-D73FEA573515}</c15:txfldGUID>
                      <c15:f>Credit_2021Q3!$S$10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B0-400D-8A95-3930526E0D7F}"/>
                </c:ext>
              </c:extLst>
            </c:dLbl>
            <c:dLbl>
              <c:idx val="4"/>
              <c:tx>
                <c:strRef>
                  <c:f>Credit_2021Q3!$V$10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{6B321CF8-206E-44CA-BC48-8A8AE7DFDC1B}</c15:txfldGUID>
                      <c15:f>Credit_2021Q3!$V$10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(Credit_2021Q3!$Z$10,Credit_2021Q3!$L$10,Credit_2021Q3!$O$10,Credit_2021Q3!$R$10,Credit_2021Q3!$U$10)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B0-400D-8A95-3930526E0D7F}"/>
            </c:ext>
          </c:extLst>
        </c:ser>
        <c:ser>
          <c:idx val="3"/>
          <c:order val="3"/>
          <c:tx>
            <c:strRef>
              <c:f>Credit_2021Q3!$J$11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{5406356D-DBFE-4D54-9FA9-C12893BABAF3}</c15:txfldGUID>
                      <c15:f>Credit_2021Q3!$J$11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B0-400D-8A95-3930526E0D7F}"/>
                </c:ext>
              </c:extLst>
            </c:dLbl>
            <c:dLbl>
              <c:idx val="1"/>
              <c:tx>
                <c:strRef>
                  <c:f>Credit_2021Q3!$M$11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{B4A0CA02-13C2-43B4-B0CD-EF2D15093740}</c15:txfldGUID>
                      <c15:f>Credit_2021Q3!$M$11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B0-400D-8A95-3930526E0D7F}"/>
                </c:ext>
              </c:extLst>
            </c:dLbl>
            <c:dLbl>
              <c:idx val="2"/>
              <c:tx>
                <c:strRef>
                  <c:f>Credit_2021Q3!$P$11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{535AB5E6-41B0-4EE1-85C9-DD78245E9F01}</c15:txfldGUID>
                      <c15:f>Credit_2021Q3!$P$11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B0-400D-8A95-3930526E0D7F}"/>
                </c:ext>
              </c:extLst>
            </c:dLbl>
            <c:dLbl>
              <c:idx val="3"/>
              <c:tx>
                <c:strRef>
                  <c:f>Credit_2021Q3!$S$11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{7A1C56AA-906C-4058-9EA8-9E424C2D0FE6}</c15:txfldGUID>
                      <c15:f>Credit_2021Q3!$S$11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B0-400D-8A95-3930526E0D7F}"/>
                </c:ext>
              </c:extLst>
            </c:dLbl>
            <c:dLbl>
              <c:idx val="4"/>
              <c:tx>
                <c:strRef>
                  <c:f>Credit_2021Q3!$V$11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{9556DDDE-5C60-4046-9CE0-F043CB830DBB}</c15:txfldGUID>
                      <c15:f>Credit_2021Q3!$V$11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(Credit_2021Q3!$Z$11,Credit_2021Q3!$L$11,Credit_2021Q3!$O$11,Credit_2021Q3!$R$11,Credit_2021Q3!$U$11)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B0-400D-8A95-3930526E0D7F}"/>
            </c:ext>
          </c:extLst>
        </c:ser>
        <c:ser>
          <c:idx val="4"/>
          <c:order val="4"/>
          <c:tx>
            <c:strRef>
              <c:f>Credit_2021Q3!$J$12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{0D28737F-0042-4182-93E4-DC260F214DCC}</c15:txfldGUID>
                      <c15:f>Credit_2021Q3!$J$12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B0-400D-8A95-3930526E0D7F}"/>
                </c:ext>
              </c:extLst>
            </c:dLbl>
            <c:dLbl>
              <c:idx val="1"/>
              <c:tx>
                <c:strRef>
                  <c:f>Credit_2021Q3!$M$12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{B3499084-7E42-48AF-A793-EC535E73FB26}</c15:txfldGUID>
                      <c15:f>Credit_2021Q3!$M$12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B0-400D-8A95-3930526E0D7F}"/>
                </c:ext>
              </c:extLst>
            </c:dLbl>
            <c:dLbl>
              <c:idx val="2"/>
              <c:tx>
                <c:strRef>
                  <c:f>Credit_2021Q3!$P$12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{8C06AF04-D5FE-445D-BDF3-72A5A8A93AB5}</c15:txfldGUID>
                      <c15:f>Credit_2021Q3!$P$12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B0-400D-8A95-3930526E0D7F}"/>
                </c:ext>
              </c:extLst>
            </c:dLbl>
            <c:dLbl>
              <c:idx val="3"/>
              <c:tx>
                <c:strRef>
                  <c:f>Credit_2021Q3!$S$12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{5D24C0D7-3C68-4B47-B0FB-204FEBAA907A}</c15:txfldGUID>
                      <c15:f>Credit_2021Q3!$S$12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B0-400D-8A95-3930526E0D7F}"/>
                </c:ext>
              </c:extLst>
            </c:dLbl>
            <c:dLbl>
              <c:idx val="4"/>
              <c:tx>
                <c:strRef>
                  <c:f>Credit_2021Q3!$V$12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{8D62D997-8F11-468D-AEA8-C8140D2D1DA1}</c15:txfldGUID>
                      <c15:f>Credit_2021Q3!$V$12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(Credit_2021Q3!$Z$12,Credit_2021Q3!$L$12,Credit_2021Q3!$O$12,Credit_2021Q3!$R$12,Credit_2021Q3!$U$12)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8B0-400D-8A95-3930526E0D7F}"/>
            </c:ext>
          </c:extLst>
        </c:ser>
        <c:ser>
          <c:idx val="5"/>
          <c:order val="5"/>
          <c:tx>
            <c:strRef>
              <c:f>Credit_2021Q3!$J$13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{77B95115-8557-4770-AD5C-B3608DBA1228}</c15:txfldGUID>
                      <c15:f>Credit_2021Q3!$J$13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B0-400D-8A95-3930526E0D7F}"/>
                </c:ext>
              </c:extLst>
            </c:dLbl>
            <c:dLbl>
              <c:idx val="1"/>
              <c:tx>
                <c:strRef>
                  <c:f>Credit_2021Q3!$M$13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{51E57AA8-50CA-40D9-BFCF-EC2602EE3C94}</c15:txfldGUID>
                      <c15:f>Credit_2021Q3!$M$13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B0-400D-8A95-3930526E0D7F}"/>
                </c:ext>
              </c:extLst>
            </c:dLbl>
            <c:dLbl>
              <c:idx val="2"/>
              <c:tx>
                <c:strRef>
                  <c:f>Credit_2021Q3!$P$13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{6CB92D0A-52BE-46E5-81C0-3CD02CC3331C}</c15:txfldGUID>
                      <c15:f>Credit_2021Q3!$P$13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8B0-400D-8A95-3930526E0D7F}"/>
                </c:ext>
              </c:extLst>
            </c:dLbl>
            <c:dLbl>
              <c:idx val="3"/>
              <c:tx>
                <c:strRef>
                  <c:f>Credit_2021Q3!$S$13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{E9B2A568-B101-4237-A15F-92A380787AA9}</c15:txfldGUID>
                      <c15:f>Credit_2021Q3!$S$13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B0-400D-8A95-3930526E0D7F}"/>
                </c:ext>
              </c:extLst>
            </c:dLbl>
            <c:dLbl>
              <c:idx val="4"/>
              <c:tx>
                <c:strRef>
                  <c:f>Credit_2021Q3!$V$13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{9BB326D8-0067-4C75-836B-B8E6D31E8109}</c15:txfldGUID>
                      <c15:f>Credit_2021Q3!$V$13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(Credit_2021Q3!$Z$13,Credit_2021Q3!$L$13,Credit_2021Q3!$O$13,Credit_2021Q3!$R$13,Credit_2021Q3!$U$13)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0-400D-8A95-3930526E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{303606D3-EC52-4513-8778-266A2B7DD827}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{64976405-43D3-4A54-ACFB-FA231161C9B7}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{9300B707-60DD-40E4-9D39-391E6D7365D0}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{73E50EA6-F06D-4797-8233-B3B11D683750}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{7CC78700-EDC8-4616-9E4D-440E0B4D8435}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{F819CCE6-89EA-4A8B-8098-3CF07DD6DF2B}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{A17FCBFA-4B0A-4048-95BA-511793D49125}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{681F0C7A-DD04-46E8-82D1-AB4565D4728E}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{3F77B0F4-859F-4B8C-8249-8A28959FD078}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{019AF3E6-08B1-408C-B6C3-D492D1415842}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{C9314591-1884-4916-BBAF-30385C7F85C8}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{B486914B-D52F-4FB0-B2C2-806C92379B20}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{38D78C73-11F2-4304-818F-5AE07C4CB1C9}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{271785B5-4B55-4560-8E92-1A3A1F602147}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{3A2F1A7E-19ED-428F-ABCF-4FA30195F2D9}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{29C0D442-647F-48CC-AA64-7783EEF3AFC2}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{A6F334D8-3970-4D11-AAFD-B98A021B7327}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{B9EE3530-91CF-4588-AC66-EB8477A5305C}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{97879AAB-15C6-4646-BAE1-577FC12C8AF7}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{2E2DC72B-E390-475D-A9BF-7D52F957977E}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{FC8D89DE-7103-43C1-914C-4F3AC5A42405}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{B8D22684-4EEB-4615-B3DF-8602FF24902C}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{02B7B5CC-982A-454B-879E-48441BDBF6D4}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{633DAF82-9F11-42F7-835A-32572EDCA6DF}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{888A2318-3F80-4904-9DFA-1A684D057FA7}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{90AB786E-069B-4613-9922-D86E5D9088EB}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{CDA6C525-1209-4BDE-8A53-F3479B43DF55}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{92A7BD1D-2840-4950-AD2E-3FAE802A1FE9}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{DC647E75-C2C3-41A3-8C41-261CD10260F1}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{B659367E-3C60-46D8-9534-1ED86362B912}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{D0B41041-BE99-4D58-8DC7-ED74C1960AF8}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{58DD0AF0-A551-462F-B6A3-A5BE960008CE}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{90D2B200-C3EF-4E64-8221-8247D1D5A29C}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{F52FD444-3569-4C3D-A7EE-34BE340D6F5A}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{1CD0512D-2DEB-4EE4-8132-09FEC821EC7F}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{0593DBBA-631A-49D3-AFC3-DA409CD40A62}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{932FD660-782C-45EF-9655-EEAB01253CC4}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{5544363E-7CE6-496E-A9E1-9640CF859C93}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{9E779B3D-7CB7-43B6-86A4-AD5AB1B95D70}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{C885C537-10CD-4D6E-BCE2-6B69F2FD6616}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{E56A510D-6569-48EF-8931-5D93D1CB9BCD}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{1F00ABE4-19E6-4BC1-9D0F-6D2293F541BD}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{DD841DEE-35CA-46C0-AC41-D14BDE07056B}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{6405197D-A70E-4D58-BCB8-ABD0BD4AAC9A}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{BDFEC476-BFEA-4953-A0C3-5B672B763FD0}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{E8909D1B-7DF7-458F-BD82-822B2F204081}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{2A634973-5915-47E2-BF38-87E3E3E39A0F}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{C3FE87FF-D3DA-4398-9B2A-AE49324F0D93}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{D88D606E-7698-41B2-9BCE-02B1F42CE926}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{80CC0F50-39B4-4A27-969C-27B483BE54AA}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{AF9A0DA4-595C-417D-946D-374865CECE46}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{51C330C6-9F3A-4396-BAD2-804EB17730BE}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{575DBA14-CDE3-47DB-B91D-F3339AB23848}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{A296CE2F-C97A-43F4-AC35-D2B21A3E4D30}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{8A724386-DA4C-493B-BFFC-9DB0EA3565B2}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{C371581F-B9F0-425A-8B50-06C68795AB73}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{53CD5A7F-DAEE-460C-85FF-61CDC41837B5}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{99655182-0F67-46D5-92BA-876FDE67C194}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{D97184C0-6660-436C-9213-D35D4A312774}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{B9D5D8DA-1CE6-493A-9C75-FE85D06D4689}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{9F612968-3320-46FA-80E0-A06DBCA1EED2}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{D3DCEDAC-6544-424A-BE6A-64E957E2330E}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{B628715E-18BB-420E-9546-BC2A84755E8A}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{0501BEF3-A8AD-4D48-A840-90DEDF382055}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{CD2C6DD8-4218-4D39-83D5-CA72041E08A0}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{5510FB82-1211-4455-A188-F6B45FEB49BC}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{903D5BCE-755A-440F-B543-50BE855F6B5E}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{02D3D0B8-9F0E-4223-B163-0AF8DB83E691}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{1C47BB1D-C327-4176-815A-52B1395BA007}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{5CF8C071-4628-4D06-A73F-C72992188935}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{5814E2B5-091B-4579-856D-97A9B7BE131F}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{58ECA1B6-2E7C-4AEB-96C7-0E103B64939A}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{162422C3-A5F1-4033-9A1A-E501DD0B4F8C}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{631996B5-F896-49CF-A861-1DF16F8EF29B}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{00F6DFEF-E6C4-421D-86EC-9CBCE35057D0}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{66E05CA6-A92F-49A3-92E4-54101433CF0E}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{7B68FE8B-4DBE-4589-AFBE-E19383DD57B9}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{DE678594-AB18-442B-9C50-95993B37DE23}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{320A4A22-692A-4042-8E42-BD0F8AD30566}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{77452C43-600A-40A6-B472-459A98D99F3D}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{39ADE47E-DE6E-412E-BA95-88CC626A4C0C}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{02E4CEF4-2557-4D8C-8F64-54C1AC5E5D2B}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{42E13EE5-973D-490D-ADEB-288F6D556318}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{8A2D6EDE-B541-42D8-984E-96DF1C052B22}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{ADE1984D-9491-4C53-B830-7CF803C871A8}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{F5498851-BB60-4CE1-8C99-5D1F99B88193}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{B685A123-E019-40E1-9479-7C2B2CAF33C1}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{4DB525C4-0EBB-4A8E-8307-BEF18455B2BF}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{241BB177-A158-4420-9E08-ECE4534B8204}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{DB583563-4806-497C-B1F5-7E3F32053004}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{41AA9BF6-AE40-4BD2-9363-01587F017F3D}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{6C5138D3-3B3F-498C-BD14-841C759C6AE7}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{BF1272C6-592F-4BFE-B0A8-7EC0D3DAFC01}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{E87F1169-4DE8-4E9D-B3C5-DCF2B5776428}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{290B6FA4-0E24-4DD6-896A-057DE913A3B2}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{F561BAB7-BBE3-4D79-A8BC-B9F448B63990}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{7E15FD5D-19F3-4A71-8E7E-32B36B84477F}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{52437E7C-FFF9-4934-9765-2B9BEEF0A4C2}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{6C1CF638-57D5-4A0D-A13A-A043F9F12F81}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{B585353A-6B6F-4B6F-9C93-1C65F85A391E}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{13565213-2AD2-4CE6-AB99-0FCE9A191E98}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{112188B4-7058-443A-ACDD-C1B97A6D346D}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{DE7D1341-D09B-4C81-BD0C-6046B92F0839}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{EC1CBEBA-C65B-44C2-A33B-319D2A4A1368}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{DAFF736C-7089-484F-A2EA-701C6BA6975A}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{A91BA7BA-DABB-477D-AA8D-ED639A94A958}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{10191DB7-EFB7-477C-98B2-88ED0477DD85}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{49D20A70-1BD3-4ACE-B875-55EED7456356}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{2CF92B3E-AE5E-4C90-A7E3-4EB3778C9BE0}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{C2708CC6-8762-4B67-A038-0DAA354F7FBA}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{2C21EBEC-F41E-46D6-98A5-9E5126368196}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{34DCDD48-1D96-47A3-9783-71DF37A0F9CE}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{C3865B33-4CFB-426D-A827-D97BFB65DE3C}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{F1EE60D4-C3BF-4218-9E23-10F0A0D84DC1}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{F3654F50-DB22-4EBB-AF14-2EED4EAE80D9}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{70BDE7DE-A3D6-42A3-9B1D-DFFBB7E4091F}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{F78FF7E5-D4D2-45BD-B75C-091E9483A380}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{B7FBA6A2-7FC7-448C-9422-FF1D46BB3F68}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{CDEF87C7-E433-4799-8AB7-E6A9B7513621}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{90D4BAF8-DD6B-4704-8B1E-AFF4DC44B38D}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{C488A382-833F-4D1A-AA98-72C5BEFB9BBC}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{96CE0BA7-1B40-4FF4-A01E-B5795B9BF256}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{02E2D3C9-1D22-4A44-A7F8-D58217E85FB1}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{EB5AAD59-4143-45B7-88BE-3406093D4CA3}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{F6EAA96A-02AE-4C0F-90B7-68AEECF5826F}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{FFF621E0-C89F-4DB6-8BD0-7277216119A7}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{5856F70B-AB8E-464D-A3DC-15455EF4EC56}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{79D53BFD-68A1-422E-B1C9-19A0428DF920}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{F7CCF644-B923-4DE0-BF02-A2128C252FC9}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{148EA7BC-7C69-43A9-925E-912E17017F8E}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{B0C98BCE-D44B-4ED6-BBF2-885D32F7980C}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{44F89FD3-3E3B-42EB-BF6E-A1167336573F}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{36F31C60-7EF9-4DDB-8DF4-59C71B4BC6BB}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{B5572935-2296-4903-A7CB-2FD8527F1A57}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{1AF0AEAC-F2B5-4289-84A3-3015C98ADA34}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{09C79577-497A-4ED5-9C39-100CABF0821F}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{F20F3F2D-0BF6-4AA3-9170-3B68E90F5703}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{DB96B66D-7B5F-44EF-837F-3C014F149206}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{4CBCAA40-926F-4AE3-ADB6-611A235868CE}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{ADB64618-BDE6-4C06-A0D8-D9562390976D}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{77A13407-BF08-4C64-A59C-3AC8F7112152}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{2604C439-0521-4C57-9FB5-9FEFC0240BF7}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{FB511BB4-616D-4256-9165-A8F6786B01CE}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{F8AC5557-D4E5-4C40-AEE0-5B767119EDAE}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{CA6AA3FA-3F14-4C89-B011-7A8431019FA6}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{270DE226-A18B-4B69-85A4-DD5149980996}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{E66A6FDF-3099-4A0D-8952-6EE8046B0FBB}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{EC8D3256-DCFF-4C60-AB0F-A107F628257F}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{AEB03EEC-934B-4BCA-A821-760898EDAD7F}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{A767F56B-674C-4E7E-9090-E554C71476A4}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{3B20139C-2522-45F4-B1B7-C4E1CCB35D51}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{9BD28560-D9DA-4223-9762-2715562D0E54}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{936293F7-7096-427B-820B-994F250DB902}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{CE19EB94-DA9F-4EBF-96A1-1B9453AC40A0}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{1A5E4E3A-8B46-4631-AD57-5FBB3299B38A}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{9C6EF467-0D43-4E86-B71D-D755F5A1A380}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{3EB4CA7E-8FF5-4D9D-9FD7-E6FB84F3254A}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{1E55B02C-F09A-426D-8E8D-14292FD0EDAC}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{11D69C2D-70A0-460C-9B80-E190287953B8}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{DCEB40D7-7E84-4089-8DFB-7AC38977D4C0}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{A781DD82-66E1-47BF-A5D6-9044F6E5DE61}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{A09BC9D2-AE22-436D-9E69-F0F57407BBAC}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{A500F357-80E4-447B-BDD6-1DB5A526943E}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{25FB0D91-9A6E-4997-8495-96A55E376B4D}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{70F8688E-813E-4B95-B446-297EAB25613B}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{C6012221-7778-4843-9749-099AB2856E16}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{BFA5BBF2-B565-4437-BB36-AAE173ED58B9}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{7210B186-869C-4700-BC4B-374B4F6F4A8F}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{B4DDFD30-31FC-42F9-923B-66577A3E01D8}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{78BEBD9F-E515-499B-BB4F-AE7C2BAD56E2}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{4791F2AE-F408-46A3-8FDD-6C1728F22B55}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{4B4EFE5A-C051-43E5-BCA0-27037FE34F28}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{57A4D979-F323-4508-9123-5E69E29D3722}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{D079EE0B-1CB4-44A3-BD25-926916AFF970}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{1D87249B-D8A8-44A1-A796-A17BFE91D18B}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{7E9B886D-2133-4772-8F84-92C1D604FAEF}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{D5451DC0-D329-4436-936C-DB42A06F59BE}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{ED4071E5-9F12-481D-811F-159BA10CF284}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{EAD2FC68-4F10-4804-A432-8256B7FAD489}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{B5700D55-943F-4F8E-A525-0249D9B6E9B3}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{CCF8B744-5E5D-44FE-8FAA-22BE834F3F96}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{25E44345-DCC0-4A45-8769-EC7F2BA113F0}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{DF032970-0723-4E87-A4D0-A6C4871411F8}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{8EB768D3-5AF5-4447-B71A-BD81B7345255}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{39464305-31A0-4E0D-9E60-68ADB46D2D3C}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{459598DD-4B2D-4AF8-ACB5-2C349ED6647E}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{9BBE4910-74C5-44E9-92FC-A5A77FA84881}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{FDA8C306-3994-473B-89D2-2B6C1AB9435A}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{DD72BC0E-98AF-4CDB-B1E3-77EF567F10AF}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{75BCE1C3-C537-4F92-9C72-F9539776F991}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{1A947279-5E43-4DAE-AF94-7A382D592E96}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{9BD3F458-842D-498E-8F21-E7D53D3A6189}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{841A2181-9D33-4BBB-AED6-2EFE2086806C}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{D9A66AAB-A61D-4C21-8987-AE6B6BDCC68D}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{20E1A77C-5FA9-4AB1-80BB-68593CD70414}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{FEBC28E0-6F61-44CF-97AB-98217D95D4DB}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{1E047A57-592C-4D3C-B495-B38B6DB34003}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{A3F0295E-A06F-4531-914D-FC814E926D25}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{08D8E881-6C0A-48F0-9C38-501792B81B71}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{C2B9816D-90CA-47E1-8031-3F58C5F61EC5}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{52BA4F1E-2FAC-463B-AE95-6D7D824FF908}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{9D141055-C676-40EA-80AE-0284155E6434}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{93586334-0383-45E2-BACA-0A64391DD23E}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{23CA2B03-F602-4420-9BE6-A9F7A661E4FA}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{CB75ED88-8ECB-42E4-9819-D4A740EA3CAC}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{9B09BDEC-D5F5-470C-BDD8-7222ABFD0354}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{8173B6FE-A1D7-4B57-B9BA-59F294DFC11A}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{11E3A48C-4CA9-423C-AE6C-6D014498ECB4}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{EF0AB653-1BD4-45A6-99D3-309AEED84CD8}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{AB5C2A1A-6A39-4511-A8EE-7A0BBE6A886D}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{5EAFA5D3-BBB3-4774-8928-3C2AADC035E9}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{46ADEC45-0D59-4456-8ADC-F56C6DE718DC}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{BD643C98-4F52-45FE-8C1C-85E7F6203353}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{B5F21E88-735D-4BB8-91A1-F3DE9C7BA5E5}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{F449D267-6948-45BE-AF80-784E5C17D3A7}</c15:txfldGUID>
                      <c15:f>Credit_2021Q2!$V$8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{D77B9294-96D9-4670-A084-2B785300206C}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{7CF2B994-976F-421B-B7C3-6F13C551E1D7}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{BED12BBB-9698-4B60-A9D0-E0E117DB1B57}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{8709F077-092C-4431-A16C-71963CBAEA2A}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{8BB31620-0629-4B3D-9C11-113913D1D282}</c15:txfldGUID>
                      <c15:f>Credit_2021Q2!$V$9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{EAAC1FB3-272C-4B96-9803-3FA17DB89B99}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{130B17B5-0932-4618-A3EC-D6386D26110D}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{82051D5F-55FD-4008-B260-6F45D0472505}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{D33F04A7-37CF-4A82-A8BC-0AC9E5ED6CA6}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{FE96101D-3898-42A9-A28E-93D5A88AD3E6}</c15:txfldGUID>
                      <c15:f>Credit_2021Q2!$V$10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{39328103-1C67-4A8F-9F61-EF3F0AA8AD76}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{B12D019B-2B67-4E50-8D82-A9CAE2C793AD}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{E7448212-E5E3-4D96-BF47-CDD2AA127E63}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{6D9796D0-1457-4180-BF35-7BB6221FAEA6}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{7193FCD5-5E58-468D-B17E-4A48C30F2036}</c15:txfldGUID>
                      <c15:f>Credit_2021Q2!$V$11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{304112C9-86FB-4D24-8520-B4B7256CF031}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{4040FBAF-022A-4B57-B550-2F313C699389}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{5E7387B7-C003-41B8-A967-D8B8702B791D}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{1FEC122B-9978-413D-8B45-91D3FF9C55F5}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{DF6C3330-160E-4ABF-951E-A20838BF0E24}</c15:txfldGUID>
                      <c15:f>Credit_2021Q2!$V$12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{8E9B177E-74B2-4866-84AC-4A3D70C53B02}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{01691F1E-2BFD-4021-B216-53675B1FFDC5}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{EBEFE91A-53FA-4B0F-8A29-7574B2E0585E}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{360759FF-CE11-4611-9875-DF389116C8B3}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{CCA51736-2054-402D-82D3-243962B514CA}</c15:txfldGUID>
                      <c15:f>Credit_2021Q2!$V$13</c15:f>
                      <c15:dlblFieldTableCache>
                        <c:ptCount val="0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D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E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F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30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31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2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3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4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5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6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5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92D050"/>
    <pageSetUpPr fitToPage="1"/>
  </sheetPr>
  <dimension ref="A1:CG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15" outlineLevelRow="1" outlineLevelCol="1"/>
  <cols>
    <col min="1" max="1" width="32.140625" customWidth="1" outlineLevel="1"/>
    <col min="2" max="49" width="8.28515625" customWidth="1"/>
  </cols>
  <sheetData>
    <row r="1" spans="2:2" ht="20.45">
      <c r="B1" s="36" t="s">
        <v>0</v>
      </c>
    </row>
    <row r="24" spans="1:85">
      <c r="B24" s="2" t="s">
        <v>1</v>
      </c>
    </row>
    <row r="25" spans="1:85">
      <c r="B25" s="2" t="s">
        <v>2</v>
      </c>
    </row>
    <row r="26" spans="1:85">
      <c r="B26" s="146" t="s">
        <v>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8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85" s="11" customFormat="1">
      <c r="B28" s="29" t="s">
        <v>4</v>
      </c>
      <c r="C28" s="29" t="s">
        <v>5</v>
      </c>
      <c r="D28" s="29" t="s">
        <v>6</v>
      </c>
      <c r="E28" s="29" t="s">
        <v>7</v>
      </c>
      <c r="F28" s="29" t="s">
        <v>8</v>
      </c>
      <c r="G28" s="29" t="s">
        <v>9</v>
      </c>
      <c r="H28" s="29" t="s">
        <v>10</v>
      </c>
      <c r="I28" s="29" t="s">
        <v>11</v>
      </c>
      <c r="J28" s="29" t="s">
        <v>12</v>
      </c>
      <c r="K28" s="29" t="s">
        <v>13</v>
      </c>
      <c r="L28" s="29" t="s">
        <v>14</v>
      </c>
      <c r="M28" s="29" t="s">
        <v>15</v>
      </c>
      <c r="N28" s="29" t="s">
        <v>16</v>
      </c>
      <c r="O28" s="29" t="s">
        <v>17</v>
      </c>
      <c r="P28" s="29" t="s">
        <v>18</v>
      </c>
      <c r="Q28" s="29" t="s">
        <v>19</v>
      </c>
      <c r="R28" s="29" t="s">
        <v>20</v>
      </c>
      <c r="S28" s="29" t="s">
        <v>21</v>
      </c>
      <c r="T28" s="29" t="s">
        <v>22</v>
      </c>
      <c r="U28" s="29" t="s">
        <v>23</v>
      </c>
      <c r="V28" s="29" t="s">
        <v>24</v>
      </c>
      <c r="W28" s="29" t="s">
        <v>25</v>
      </c>
      <c r="X28" s="29" t="s">
        <v>26</v>
      </c>
      <c r="Y28" s="29" t="s">
        <v>27</v>
      </c>
      <c r="Z28" s="29" t="s">
        <v>28</v>
      </c>
      <c r="AA28" s="29" t="s">
        <v>29</v>
      </c>
      <c r="AB28" s="29" t="s">
        <v>30</v>
      </c>
      <c r="AC28" s="29" t="s">
        <v>31</v>
      </c>
      <c r="AD28" s="29" t="s">
        <v>32</v>
      </c>
      <c r="AE28" s="29" t="s">
        <v>33</v>
      </c>
      <c r="AF28" s="29" t="s">
        <v>34</v>
      </c>
      <c r="AG28" s="29" t="s">
        <v>35</v>
      </c>
      <c r="AH28" s="29" t="s">
        <v>36</v>
      </c>
      <c r="AI28" s="29" t="s">
        <v>37</v>
      </c>
      <c r="AJ28" s="29" t="s">
        <v>38</v>
      </c>
      <c r="AK28" s="29" t="s">
        <v>39</v>
      </c>
      <c r="AL28" s="29" t="s">
        <v>40</v>
      </c>
      <c r="AM28" s="29" t="s">
        <v>41</v>
      </c>
      <c r="AN28" s="29" t="s">
        <v>42</v>
      </c>
      <c r="AO28" s="29" t="s">
        <v>43</v>
      </c>
      <c r="AP28" s="29" t="s">
        <v>44</v>
      </c>
      <c r="AQ28" s="29" t="s">
        <v>45</v>
      </c>
      <c r="AR28" s="29" t="s">
        <v>46</v>
      </c>
      <c r="AS28" s="29" t="s">
        <v>47</v>
      </c>
      <c r="AT28" s="29" t="s">
        <v>48</v>
      </c>
      <c r="AU28" s="29" t="s">
        <v>49</v>
      </c>
      <c r="AV28" s="29" t="s">
        <v>50</v>
      </c>
      <c r="AW28" s="29" t="s">
        <v>51</v>
      </c>
      <c r="AX28" s="29" t="s">
        <v>52</v>
      </c>
      <c r="AY28" s="29" t="s">
        <v>53</v>
      </c>
      <c r="AZ28" s="29" t="s">
        <v>54</v>
      </c>
      <c r="BA28" s="29" t="s">
        <v>55</v>
      </c>
      <c r="BB28" s="29" t="s">
        <v>56</v>
      </c>
      <c r="BC28" s="29" t="s">
        <v>57</v>
      </c>
      <c r="BD28" s="29" t="s">
        <v>58</v>
      </c>
      <c r="BE28" s="29" t="s">
        <v>59</v>
      </c>
      <c r="BF28" s="29" t="s">
        <v>60</v>
      </c>
      <c r="BG28" s="29" t="s">
        <v>61</v>
      </c>
      <c r="BH28" s="29" t="s">
        <v>62</v>
      </c>
      <c r="BI28" s="29" t="s">
        <v>63</v>
      </c>
      <c r="BJ28" s="29" t="s">
        <v>64</v>
      </c>
      <c r="BK28" s="29" t="s">
        <v>65</v>
      </c>
      <c r="BL28" s="29" t="s">
        <v>66</v>
      </c>
      <c r="BM28" s="29" t="s">
        <v>67</v>
      </c>
      <c r="BN28" s="29" t="s">
        <v>68</v>
      </c>
      <c r="BO28" s="29" t="s">
        <v>69</v>
      </c>
      <c r="BP28" s="29" t="s">
        <v>70</v>
      </c>
      <c r="BQ28" s="29" t="s">
        <v>71</v>
      </c>
      <c r="BR28" s="29" t="s">
        <v>72</v>
      </c>
      <c r="BS28" s="29" t="s">
        <v>73</v>
      </c>
      <c r="BT28" s="29" t="s">
        <v>74</v>
      </c>
      <c r="BU28" s="29" t="s">
        <v>75</v>
      </c>
      <c r="BV28" s="29" t="s">
        <v>76</v>
      </c>
      <c r="BW28" s="29" t="s">
        <v>77</v>
      </c>
      <c r="BX28" s="29" t="s">
        <v>78</v>
      </c>
      <c r="BY28" s="29" t="s">
        <v>79</v>
      </c>
      <c r="BZ28" s="29" t="s">
        <v>80</v>
      </c>
      <c r="CA28" s="29" t="s">
        <v>81</v>
      </c>
      <c r="CB28" s="29" t="s">
        <v>82</v>
      </c>
      <c r="CC28" s="29" t="s">
        <v>83</v>
      </c>
      <c r="CD28" s="29" t="s">
        <v>84</v>
      </c>
      <c r="CE28" s="29" t="s">
        <v>85</v>
      </c>
      <c r="CF28" s="29" t="s">
        <v>86</v>
      </c>
      <c r="CG28" s="29" t="s">
        <v>87</v>
      </c>
    </row>
    <row r="29" spans="1:85" s="128" customFormat="1">
      <c r="A29" s="125" t="s">
        <v>88</v>
      </c>
      <c r="B29" s="126">
        <v>3</v>
      </c>
      <c r="C29" s="126">
        <v>3</v>
      </c>
      <c r="D29" s="126">
        <v>1</v>
      </c>
      <c r="E29" s="126">
        <v>3</v>
      </c>
      <c r="F29" s="126">
        <v>1</v>
      </c>
      <c r="G29" s="126">
        <v>0</v>
      </c>
      <c r="H29" s="126">
        <v>1</v>
      </c>
      <c r="I29" s="126">
        <v>0</v>
      </c>
      <c r="J29" s="126">
        <v>1</v>
      </c>
      <c r="K29" s="126">
        <v>12</v>
      </c>
      <c r="L29" s="126">
        <v>5</v>
      </c>
      <c r="M29" s="126">
        <v>0</v>
      </c>
      <c r="N29" s="126">
        <v>3</v>
      </c>
      <c r="O29" s="126">
        <v>3</v>
      </c>
      <c r="P29" s="126">
        <v>3</v>
      </c>
      <c r="Q29" s="126">
        <v>7</v>
      </c>
      <c r="R29" s="126">
        <v>4</v>
      </c>
      <c r="S29" s="126">
        <v>1</v>
      </c>
      <c r="T29" s="126">
        <v>11</v>
      </c>
      <c r="U29" s="126">
        <v>2</v>
      </c>
      <c r="V29" s="126">
        <v>6</v>
      </c>
      <c r="W29" s="126">
        <v>5</v>
      </c>
      <c r="X29" s="126">
        <v>10</v>
      </c>
      <c r="Y29" s="126">
        <v>4</v>
      </c>
      <c r="Z29" s="126">
        <v>14</v>
      </c>
      <c r="AA29" s="126">
        <v>3</v>
      </c>
      <c r="AB29" s="126">
        <v>4</v>
      </c>
      <c r="AC29" s="126">
        <v>7</v>
      </c>
      <c r="AD29" s="127">
        <v>1</v>
      </c>
      <c r="AE29" s="126">
        <v>0</v>
      </c>
      <c r="AF29" s="126">
        <v>3</v>
      </c>
      <c r="AG29" s="126">
        <v>4</v>
      </c>
      <c r="AH29" s="126">
        <v>0</v>
      </c>
      <c r="AI29" s="126">
        <v>3</v>
      </c>
      <c r="AJ29" s="126">
        <v>1</v>
      </c>
      <c r="AK29" s="126">
        <v>2</v>
      </c>
      <c r="AL29" s="126">
        <v>1</v>
      </c>
      <c r="AM29" s="126">
        <v>4</v>
      </c>
      <c r="AN29" s="126">
        <v>2</v>
      </c>
      <c r="AO29" s="126">
        <v>0</v>
      </c>
      <c r="AP29" s="126">
        <v>3</v>
      </c>
      <c r="AQ29" s="126">
        <v>8</v>
      </c>
      <c r="AR29" s="126">
        <v>2</v>
      </c>
      <c r="AS29" s="126">
        <v>1</v>
      </c>
      <c r="AT29" s="126">
        <v>2</v>
      </c>
      <c r="AU29" s="126">
        <v>8</v>
      </c>
      <c r="AV29" s="126">
        <v>2</v>
      </c>
      <c r="AW29" s="126">
        <v>1</v>
      </c>
      <c r="AX29" s="126">
        <v>0</v>
      </c>
      <c r="AY29" s="126">
        <v>6</v>
      </c>
      <c r="AZ29" s="126">
        <v>0</v>
      </c>
      <c r="BA29" s="126">
        <v>4</v>
      </c>
      <c r="BB29" s="126">
        <v>4</v>
      </c>
      <c r="BC29" s="126">
        <v>4</v>
      </c>
      <c r="BD29" s="126">
        <v>1</v>
      </c>
      <c r="BE29" s="126">
        <v>3</v>
      </c>
      <c r="BF29" s="126">
        <v>0</v>
      </c>
      <c r="BG29" s="126">
        <v>4</v>
      </c>
      <c r="BH29" s="126">
        <v>0</v>
      </c>
      <c r="BI29" s="126">
        <v>2</v>
      </c>
      <c r="BJ29" s="126">
        <v>5</v>
      </c>
      <c r="BK29" s="126">
        <v>4</v>
      </c>
      <c r="BL29" s="126">
        <v>3</v>
      </c>
      <c r="BM29" s="126">
        <v>1</v>
      </c>
      <c r="BN29" s="126">
        <v>2</v>
      </c>
      <c r="BO29" s="126">
        <v>1</v>
      </c>
      <c r="BP29" s="126">
        <v>5</v>
      </c>
      <c r="BQ29" s="126">
        <v>3</v>
      </c>
      <c r="BR29" s="126">
        <v>1</v>
      </c>
      <c r="BS29" s="126">
        <v>2</v>
      </c>
      <c r="BT29" s="126">
        <v>1</v>
      </c>
      <c r="BU29" s="126">
        <v>8</v>
      </c>
      <c r="BV29" s="126">
        <v>3</v>
      </c>
      <c r="BW29" s="126">
        <v>7</v>
      </c>
      <c r="BX29" s="126">
        <v>3</v>
      </c>
      <c r="BY29" s="126">
        <v>13</v>
      </c>
      <c r="BZ29" s="126">
        <v>0</v>
      </c>
      <c r="CA29" s="126">
        <v>4</v>
      </c>
      <c r="CB29" s="126">
        <v>1</v>
      </c>
      <c r="CC29" s="126">
        <v>0</v>
      </c>
      <c r="CD29" s="126">
        <v>0</v>
      </c>
      <c r="CE29" s="126">
        <v>0</v>
      </c>
      <c r="CF29" s="126">
        <v>1</v>
      </c>
      <c r="CG29" s="126">
        <v>1</v>
      </c>
    </row>
    <row r="30" spans="1:85" s="132" customFormat="1">
      <c r="A30" s="129" t="s">
        <v>89</v>
      </c>
      <c r="B30" s="130">
        <v>-14</v>
      </c>
      <c r="C30" s="130">
        <v>-6</v>
      </c>
      <c r="D30" s="130">
        <v>-1</v>
      </c>
      <c r="E30" s="130">
        <v>-7</v>
      </c>
      <c r="F30" s="130">
        <v>-3</v>
      </c>
      <c r="G30" s="130">
        <v>-14</v>
      </c>
      <c r="H30" s="130">
        <v>-32</v>
      </c>
      <c r="I30" s="130">
        <v>-6</v>
      </c>
      <c r="J30" s="130">
        <v>-19</v>
      </c>
      <c r="K30" s="130">
        <v>-10</v>
      </c>
      <c r="L30" s="130">
        <v>-9</v>
      </c>
      <c r="M30" s="130">
        <v>-6</v>
      </c>
      <c r="N30" s="130">
        <v>-2</v>
      </c>
      <c r="O30" s="130">
        <v>-9</v>
      </c>
      <c r="P30" s="130">
        <v>-5</v>
      </c>
      <c r="Q30" s="130">
        <v>-2</v>
      </c>
      <c r="R30" s="130">
        <v>-2</v>
      </c>
      <c r="S30" s="130">
        <v>-1</v>
      </c>
      <c r="T30" s="130">
        <v>-1</v>
      </c>
      <c r="U30" s="130">
        <v>0</v>
      </c>
      <c r="V30" s="130">
        <v>-3</v>
      </c>
      <c r="W30" s="130">
        <v>-2</v>
      </c>
      <c r="X30" s="130">
        <v>-1</v>
      </c>
      <c r="Y30" s="130">
        <v>0</v>
      </c>
      <c r="Z30" s="130">
        <v>-4</v>
      </c>
      <c r="AA30" s="130">
        <v>-6</v>
      </c>
      <c r="AB30" s="130">
        <v>-1</v>
      </c>
      <c r="AC30" s="130">
        <v>-2</v>
      </c>
      <c r="AD30" s="131">
        <v>-8</v>
      </c>
      <c r="AE30" s="130">
        <v>0</v>
      </c>
      <c r="AF30" s="130">
        <v>-1</v>
      </c>
      <c r="AG30" s="130">
        <v>0</v>
      </c>
      <c r="AH30" s="130">
        <v>-3</v>
      </c>
      <c r="AI30" s="130">
        <v>-2</v>
      </c>
      <c r="AJ30" s="130">
        <v>-3</v>
      </c>
      <c r="AK30" s="130">
        <v>0</v>
      </c>
      <c r="AL30" s="130">
        <v>-2</v>
      </c>
      <c r="AM30" s="130">
        <v>-7</v>
      </c>
      <c r="AN30" s="130">
        <v>-5</v>
      </c>
      <c r="AO30" s="130">
        <v>-3</v>
      </c>
      <c r="AP30" s="130">
        <v>0</v>
      </c>
      <c r="AQ30" s="130">
        <v>-6</v>
      </c>
      <c r="AR30" s="130">
        <v>-1</v>
      </c>
      <c r="AS30" s="130">
        <v>-4</v>
      </c>
      <c r="AT30" s="130">
        <v>-3</v>
      </c>
      <c r="AU30" s="130">
        <v>-5</v>
      </c>
      <c r="AV30" s="130">
        <v>-1</v>
      </c>
      <c r="AW30" s="130">
        <v>-4</v>
      </c>
      <c r="AX30" s="130">
        <v>-4</v>
      </c>
      <c r="AY30" s="130">
        <v>0</v>
      </c>
      <c r="AZ30" s="130">
        <v>-8</v>
      </c>
      <c r="BA30" s="130">
        <v>-1</v>
      </c>
      <c r="BB30" s="130">
        <v>0</v>
      </c>
      <c r="BC30" s="130">
        <v>-2</v>
      </c>
      <c r="BD30" s="130">
        <v>0</v>
      </c>
      <c r="BE30" s="130">
        <v>0</v>
      </c>
      <c r="BF30" s="130">
        <v>0</v>
      </c>
      <c r="BG30" s="130">
        <v>-5</v>
      </c>
      <c r="BH30" s="130">
        <v>0</v>
      </c>
      <c r="BI30" s="130">
        <v>0</v>
      </c>
      <c r="BJ30" s="130">
        <v>-1</v>
      </c>
      <c r="BK30" s="130">
        <v>-2</v>
      </c>
      <c r="BL30" s="130">
        <v>0</v>
      </c>
      <c r="BM30" s="130">
        <v>0</v>
      </c>
      <c r="BN30" s="130">
        <v>0</v>
      </c>
      <c r="BO30" s="130">
        <v>0</v>
      </c>
      <c r="BP30" s="130">
        <v>-4</v>
      </c>
      <c r="BQ30" s="130">
        <v>0</v>
      </c>
      <c r="BR30" s="130">
        <v>-5</v>
      </c>
      <c r="BS30" s="130">
        <v>-3</v>
      </c>
      <c r="BT30" s="130">
        <v>-11</v>
      </c>
      <c r="BU30" s="130">
        <v>-2</v>
      </c>
      <c r="BV30" s="130">
        <v>-7</v>
      </c>
      <c r="BW30" s="130">
        <v>0</v>
      </c>
      <c r="BX30" s="130">
        <v>0</v>
      </c>
      <c r="BY30" s="130">
        <v>-3</v>
      </c>
      <c r="BZ30" s="130">
        <v>-1</v>
      </c>
      <c r="CA30" s="130">
        <v>-2</v>
      </c>
      <c r="CB30" s="130">
        <v>0</v>
      </c>
      <c r="CC30" s="130">
        <v>-16</v>
      </c>
      <c r="CD30" s="130">
        <v>0</v>
      </c>
      <c r="CE30" s="130">
        <v>-1</v>
      </c>
      <c r="CF30" s="130">
        <v>0</v>
      </c>
      <c r="CG30" s="130">
        <v>-3</v>
      </c>
    </row>
    <row r="31" spans="1:85" s="128" customFormat="1">
      <c r="A31" s="125" t="s">
        <v>90</v>
      </c>
      <c r="B31" s="126">
        <v>14</v>
      </c>
      <c r="C31" s="126">
        <v>4</v>
      </c>
      <c r="D31" s="126">
        <v>0</v>
      </c>
      <c r="E31" s="126">
        <v>9</v>
      </c>
      <c r="F31" s="126">
        <v>3</v>
      </c>
      <c r="G31" s="126">
        <v>0</v>
      </c>
      <c r="H31" s="126">
        <v>2</v>
      </c>
      <c r="I31" s="126">
        <v>0</v>
      </c>
      <c r="J31" s="126">
        <v>0</v>
      </c>
      <c r="K31" s="126">
        <v>2</v>
      </c>
      <c r="L31" s="126">
        <v>1</v>
      </c>
      <c r="M31" s="126">
        <v>8</v>
      </c>
      <c r="N31" s="126">
        <v>3</v>
      </c>
      <c r="O31" s="126">
        <v>4</v>
      </c>
      <c r="P31" s="126">
        <v>9</v>
      </c>
      <c r="Q31" s="126">
        <v>4</v>
      </c>
      <c r="R31" s="126">
        <v>12</v>
      </c>
      <c r="S31" s="126">
        <v>11</v>
      </c>
      <c r="T31" s="126">
        <v>8</v>
      </c>
      <c r="U31" s="126">
        <v>0</v>
      </c>
      <c r="V31" s="126">
        <v>5</v>
      </c>
      <c r="W31" s="126">
        <v>12</v>
      </c>
      <c r="X31" s="126">
        <v>3</v>
      </c>
      <c r="Y31" s="126">
        <v>2</v>
      </c>
      <c r="Z31" s="126">
        <v>1</v>
      </c>
      <c r="AA31" s="126">
        <v>4</v>
      </c>
      <c r="AB31" s="126">
        <v>4</v>
      </c>
      <c r="AC31" s="126">
        <v>10</v>
      </c>
      <c r="AD31" s="127">
        <v>1</v>
      </c>
      <c r="AE31" s="126">
        <v>1</v>
      </c>
      <c r="AF31" s="126">
        <v>0</v>
      </c>
      <c r="AG31" s="126">
        <v>1</v>
      </c>
      <c r="AH31" s="126">
        <v>0</v>
      </c>
      <c r="AI31" s="126">
        <v>2</v>
      </c>
      <c r="AJ31" s="126">
        <v>3</v>
      </c>
      <c r="AK31" s="126">
        <v>0</v>
      </c>
      <c r="AL31" s="126">
        <v>0</v>
      </c>
      <c r="AM31" s="126">
        <v>2</v>
      </c>
      <c r="AN31" s="126">
        <v>4</v>
      </c>
      <c r="AO31" s="126">
        <v>1</v>
      </c>
      <c r="AP31" s="126">
        <v>3</v>
      </c>
      <c r="AQ31" s="126">
        <v>4</v>
      </c>
      <c r="AR31" s="126">
        <v>0</v>
      </c>
      <c r="AS31" s="126">
        <v>0</v>
      </c>
      <c r="AT31" s="126">
        <v>5</v>
      </c>
      <c r="AU31" s="126">
        <v>9</v>
      </c>
      <c r="AV31" s="126">
        <v>0</v>
      </c>
      <c r="AW31" s="126">
        <v>0</v>
      </c>
      <c r="AX31" s="126">
        <v>1</v>
      </c>
      <c r="AY31" s="126">
        <v>4</v>
      </c>
      <c r="AZ31" s="126">
        <v>8</v>
      </c>
      <c r="BA31" s="126">
        <v>0</v>
      </c>
      <c r="BB31" s="126">
        <v>78</v>
      </c>
      <c r="BC31" s="126">
        <v>2</v>
      </c>
      <c r="BD31" s="126">
        <v>5</v>
      </c>
      <c r="BE31" s="126">
        <v>0</v>
      </c>
      <c r="BF31" s="126">
        <v>2</v>
      </c>
      <c r="BG31" s="126">
        <v>4</v>
      </c>
      <c r="BH31" s="126">
        <v>1</v>
      </c>
      <c r="BI31" s="126">
        <v>2</v>
      </c>
      <c r="BJ31" s="126">
        <v>2</v>
      </c>
      <c r="BK31" s="126">
        <v>2</v>
      </c>
      <c r="BL31" s="126">
        <v>1</v>
      </c>
      <c r="BM31" s="126">
        <v>0</v>
      </c>
      <c r="BN31" s="126">
        <v>4</v>
      </c>
      <c r="BO31" s="126">
        <v>3</v>
      </c>
      <c r="BP31" s="126">
        <v>3</v>
      </c>
      <c r="BQ31" s="126">
        <v>0</v>
      </c>
      <c r="BR31" s="126">
        <v>0</v>
      </c>
      <c r="BS31" s="126">
        <v>2</v>
      </c>
      <c r="BT31" s="126">
        <v>0</v>
      </c>
      <c r="BU31" s="126">
        <v>1</v>
      </c>
      <c r="BV31" s="126">
        <v>2</v>
      </c>
      <c r="BW31" s="126">
        <v>2</v>
      </c>
      <c r="BX31" s="126">
        <v>5</v>
      </c>
      <c r="BY31" s="126">
        <v>0</v>
      </c>
      <c r="BZ31" s="126">
        <v>1</v>
      </c>
      <c r="CA31" s="126">
        <v>1</v>
      </c>
      <c r="CB31" s="126">
        <v>2</v>
      </c>
      <c r="CC31" s="126">
        <v>1</v>
      </c>
      <c r="CD31" s="126">
        <v>2</v>
      </c>
      <c r="CE31" s="126">
        <v>1</v>
      </c>
      <c r="CF31" s="126">
        <v>0</v>
      </c>
      <c r="CG31" s="126">
        <v>0</v>
      </c>
    </row>
    <row r="32" spans="1:85" s="132" customFormat="1">
      <c r="A32" s="129" t="s">
        <v>91</v>
      </c>
      <c r="B32" s="130">
        <v>-21</v>
      </c>
      <c r="C32" s="130">
        <v>-8</v>
      </c>
      <c r="D32" s="130">
        <v>0</v>
      </c>
      <c r="E32" s="130">
        <v>-12</v>
      </c>
      <c r="F32" s="130">
        <v>-7</v>
      </c>
      <c r="G32" s="130">
        <v>-20</v>
      </c>
      <c r="H32" s="130">
        <v>-27</v>
      </c>
      <c r="I32" s="130">
        <v>-59</v>
      </c>
      <c r="J32" s="130">
        <v>-25</v>
      </c>
      <c r="K32" s="130">
        <v>-21</v>
      </c>
      <c r="L32" s="130">
        <v>-11</v>
      </c>
      <c r="M32" s="130">
        <v>-11</v>
      </c>
      <c r="N32" s="130">
        <v>-11</v>
      </c>
      <c r="O32" s="130">
        <v>-6</v>
      </c>
      <c r="P32" s="130">
        <v>-3</v>
      </c>
      <c r="Q32" s="130">
        <v>-2</v>
      </c>
      <c r="R32" s="130">
        <v>-6</v>
      </c>
      <c r="S32" s="130">
        <v>0</v>
      </c>
      <c r="T32" s="130">
        <v>-3</v>
      </c>
      <c r="U32" s="130">
        <v>-6</v>
      </c>
      <c r="V32" s="130">
        <v>-2</v>
      </c>
      <c r="W32" s="130">
        <v>-4</v>
      </c>
      <c r="X32" s="130">
        <v>-11</v>
      </c>
      <c r="Y32" s="130">
        <v>0</v>
      </c>
      <c r="Z32" s="130">
        <v>-9</v>
      </c>
      <c r="AA32" s="130">
        <v>-1</v>
      </c>
      <c r="AB32" s="130">
        <v>0</v>
      </c>
      <c r="AC32" s="130">
        <v>-3</v>
      </c>
      <c r="AD32" s="131">
        <v>0</v>
      </c>
      <c r="AE32" s="130">
        <v>-2</v>
      </c>
      <c r="AF32" s="130">
        <v>-1</v>
      </c>
      <c r="AG32" s="130">
        <v>0</v>
      </c>
      <c r="AH32" s="130">
        <v>-2</v>
      </c>
      <c r="AI32" s="130">
        <v>-9</v>
      </c>
      <c r="AJ32" s="130">
        <v>-5</v>
      </c>
      <c r="AK32" s="130">
        <v>-2</v>
      </c>
      <c r="AL32" s="130">
        <v>-2</v>
      </c>
      <c r="AM32" s="130">
        <v>-5</v>
      </c>
      <c r="AN32" s="130">
        <v>-3</v>
      </c>
      <c r="AO32" s="130">
        <v>-3</v>
      </c>
      <c r="AP32" s="130">
        <v>0</v>
      </c>
      <c r="AQ32" s="130">
        <v>0</v>
      </c>
      <c r="AR32" s="130">
        <v>-3</v>
      </c>
      <c r="AS32" s="130">
        <v>-1</v>
      </c>
      <c r="AT32" s="130">
        <v>-2</v>
      </c>
      <c r="AU32" s="130">
        <v>-2</v>
      </c>
      <c r="AV32" s="130">
        <v>-1</v>
      </c>
      <c r="AW32" s="130">
        <v>-1</v>
      </c>
      <c r="AX32" s="130">
        <v>-1</v>
      </c>
      <c r="AY32" s="130">
        <v>-1</v>
      </c>
      <c r="AZ32" s="130">
        <v>-2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-1</v>
      </c>
      <c r="BH32" s="130">
        <v>-1</v>
      </c>
      <c r="BI32" s="130">
        <v>-1</v>
      </c>
      <c r="BJ32" s="130">
        <v>-2</v>
      </c>
      <c r="BK32" s="130">
        <v>0</v>
      </c>
      <c r="BL32" s="130">
        <v>-5</v>
      </c>
      <c r="BM32" s="130">
        <v>-1</v>
      </c>
      <c r="BN32" s="130">
        <v>0</v>
      </c>
      <c r="BO32" s="130">
        <v>0</v>
      </c>
      <c r="BP32" s="130">
        <v>-2</v>
      </c>
      <c r="BQ32" s="130">
        <v>0</v>
      </c>
      <c r="BR32" s="130">
        <v>-4</v>
      </c>
      <c r="BS32" s="130">
        <v>0</v>
      </c>
      <c r="BT32" s="130">
        <v>-9</v>
      </c>
      <c r="BU32" s="130">
        <v>-7</v>
      </c>
      <c r="BV32" s="130">
        <v>-6</v>
      </c>
      <c r="BW32" s="130">
        <v>-2</v>
      </c>
      <c r="BX32" s="130">
        <v>-1</v>
      </c>
      <c r="BY32" s="130">
        <v>-2</v>
      </c>
      <c r="BZ32" s="130">
        <v>-3</v>
      </c>
      <c r="CA32" s="130">
        <v>-1</v>
      </c>
      <c r="CB32" s="130">
        <v>-2</v>
      </c>
      <c r="CC32" s="130">
        <v>-1</v>
      </c>
      <c r="CD32" s="130">
        <v>-3</v>
      </c>
      <c r="CE32" s="130">
        <v>0</v>
      </c>
      <c r="CF32" s="130">
        <v>-3</v>
      </c>
      <c r="CG32" s="130">
        <v>-3</v>
      </c>
    </row>
    <row r="33" spans="1:85" s="128" customFormat="1">
      <c r="A33" s="125" t="s">
        <v>92</v>
      </c>
      <c r="B33" s="126">
        <v>6</v>
      </c>
      <c r="C33" s="126">
        <v>7</v>
      </c>
      <c r="D33" s="126">
        <v>5</v>
      </c>
      <c r="E33" s="126">
        <v>2</v>
      </c>
      <c r="F33" s="126">
        <v>2</v>
      </c>
      <c r="G33" s="126">
        <v>2</v>
      </c>
      <c r="H33" s="126">
        <v>9</v>
      </c>
      <c r="I33" s="126">
        <v>1</v>
      </c>
      <c r="J33" s="126">
        <v>3</v>
      </c>
      <c r="K33" s="126">
        <v>1</v>
      </c>
      <c r="L33" s="126">
        <v>0</v>
      </c>
      <c r="M33" s="126">
        <v>2</v>
      </c>
      <c r="N33" s="126">
        <v>2</v>
      </c>
      <c r="O33" s="126">
        <v>1</v>
      </c>
      <c r="P33" s="126">
        <v>9</v>
      </c>
      <c r="Q33" s="126">
        <v>3</v>
      </c>
      <c r="R33" s="126">
        <v>7</v>
      </c>
      <c r="S33" s="126">
        <v>8</v>
      </c>
      <c r="T33" s="126">
        <v>1</v>
      </c>
      <c r="U33" s="126">
        <v>8</v>
      </c>
      <c r="V33" s="126">
        <v>7</v>
      </c>
      <c r="W33" s="126">
        <v>7</v>
      </c>
      <c r="X33" s="126">
        <v>6</v>
      </c>
      <c r="Y33" s="126">
        <v>0</v>
      </c>
      <c r="Z33" s="126">
        <v>7</v>
      </c>
      <c r="AA33" s="126">
        <v>16</v>
      </c>
      <c r="AB33" s="126">
        <v>0</v>
      </c>
      <c r="AC33" s="126">
        <v>3</v>
      </c>
      <c r="AD33" s="127">
        <v>3</v>
      </c>
      <c r="AE33" s="126">
        <v>3</v>
      </c>
      <c r="AF33" s="126">
        <v>6</v>
      </c>
      <c r="AG33" s="126">
        <v>1</v>
      </c>
      <c r="AH33" s="126">
        <v>1</v>
      </c>
      <c r="AI33" s="126">
        <v>5</v>
      </c>
      <c r="AJ33" s="126">
        <v>3</v>
      </c>
      <c r="AK33" s="126">
        <v>3</v>
      </c>
      <c r="AL33" s="126">
        <v>0</v>
      </c>
      <c r="AM33" s="126">
        <v>6</v>
      </c>
      <c r="AN33" s="126">
        <v>5</v>
      </c>
      <c r="AO33" s="126">
        <v>4</v>
      </c>
      <c r="AP33" s="126">
        <v>5</v>
      </c>
      <c r="AQ33" s="126">
        <v>9</v>
      </c>
      <c r="AR33" s="126">
        <v>2</v>
      </c>
      <c r="AS33" s="126">
        <v>2</v>
      </c>
      <c r="AT33" s="126">
        <v>1</v>
      </c>
      <c r="AU33" s="126">
        <v>7</v>
      </c>
      <c r="AV33" s="126">
        <v>0</v>
      </c>
      <c r="AW33" s="126">
        <v>2</v>
      </c>
      <c r="AX33" s="126">
        <v>13</v>
      </c>
      <c r="AY33" s="126">
        <v>10</v>
      </c>
      <c r="AZ33" s="126">
        <v>6</v>
      </c>
      <c r="BA33" s="126">
        <v>8</v>
      </c>
      <c r="BB33" s="126">
        <v>0</v>
      </c>
      <c r="BC33" s="126">
        <v>4</v>
      </c>
      <c r="BD33" s="126">
        <v>0</v>
      </c>
      <c r="BE33" s="126">
        <v>2</v>
      </c>
      <c r="BF33" s="126">
        <v>0</v>
      </c>
      <c r="BG33" s="126">
        <v>18</v>
      </c>
      <c r="BH33" s="126">
        <v>0</v>
      </c>
      <c r="BI33" s="126">
        <v>2</v>
      </c>
      <c r="BJ33" s="126">
        <v>6</v>
      </c>
      <c r="BK33" s="126">
        <v>6</v>
      </c>
      <c r="BL33" s="126">
        <v>19</v>
      </c>
      <c r="BM33" s="126">
        <v>0</v>
      </c>
      <c r="BN33" s="126">
        <v>7</v>
      </c>
      <c r="BO33" s="126">
        <v>3</v>
      </c>
      <c r="BP33" s="126">
        <v>0</v>
      </c>
      <c r="BQ33" s="126">
        <v>7</v>
      </c>
      <c r="BR33" s="126">
        <v>5</v>
      </c>
      <c r="BS33" s="126">
        <v>2</v>
      </c>
      <c r="BT33" s="126">
        <v>16</v>
      </c>
      <c r="BU33" s="126">
        <v>3</v>
      </c>
      <c r="BV33" s="126">
        <v>9</v>
      </c>
      <c r="BW33" s="126">
        <v>1</v>
      </c>
      <c r="BX33" s="126">
        <v>4</v>
      </c>
      <c r="BY33" s="126">
        <v>6</v>
      </c>
      <c r="BZ33" s="126">
        <v>0</v>
      </c>
      <c r="CA33" s="126">
        <v>0</v>
      </c>
      <c r="CB33" s="126">
        <v>0</v>
      </c>
      <c r="CC33" s="126">
        <v>2</v>
      </c>
      <c r="CD33" s="126">
        <v>1</v>
      </c>
      <c r="CE33" s="126">
        <v>0</v>
      </c>
      <c r="CF33" s="126">
        <v>0</v>
      </c>
      <c r="CG33" s="126">
        <v>14</v>
      </c>
    </row>
    <row r="34" spans="1:85" s="132" customFormat="1">
      <c r="A34" s="129" t="s">
        <v>93</v>
      </c>
      <c r="B34" s="130">
        <v>-24</v>
      </c>
      <c r="C34" s="130">
        <v>-7</v>
      </c>
      <c r="D34" s="130">
        <v>-12</v>
      </c>
      <c r="E34" s="130">
        <v>-38</v>
      </c>
      <c r="F34" s="130">
        <v>-24</v>
      </c>
      <c r="G34" s="130">
        <v>-33</v>
      </c>
      <c r="H34" s="130">
        <v>-32</v>
      </c>
      <c r="I34" s="130">
        <v>-22</v>
      </c>
      <c r="J34" s="130">
        <v>-44</v>
      </c>
      <c r="K34" s="130">
        <v>-24</v>
      </c>
      <c r="L34" s="130">
        <v>-18</v>
      </c>
      <c r="M34" s="130">
        <v>-20</v>
      </c>
      <c r="N34" s="130">
        <v>-6</v>
      </c>
      <c r="O34" s="130">
        <v>-4</v>
      </c>
      <c r="P34" s="130">
        <v>-2</v>
      </c>
      <c r="Q34" s="130">
        <v>-7</v>
      </c>
      <c r="R34" s="130">
        <v>-1</v>
      </c>
      <c r="S34" s="130">
        <v>-9</v>
      </c>
      <c r="T34" s="130">
        <v>-3</v>
      </c>
      <c r="U34" s="130">
        <v>-16</v>
      </c>
      <c r="V34" s="130">
        <v>-2</v>
      </c>
      <c r="W34" s="130">
        <v>-4</v>
      </c>
      <c r="X34" s="130">
        <v>-6</v>
      </c>
      <c r="Y34" s="130">
        <v>-8</v>
      </c>
      <c r="Z34" s="130">
        <v>-4</v>
      </c>
      <c r="AA34" s="130">
        <v>-11</v>
      </c>
      <c r="AB34" s="130">
        <v>-1</v>
      </c>
      <c r="AC34" s="130">
        <v>-6</v>
      </c>
      <c r="AD34" s="131">
        <v>-5</v>
      </c>
      <c r="AE34" s="130">
        <v>-3</v>
      </c>
      <c r="AF34" s="130">
        <v>-3</v>
      </c>
      <c r="AG34" s="130">
        <v>-3</v>
      </c>
      <c r="AH34" s="130">
        <v>-4</v>
      </c>
      <c r="AI34" s="130">
        <v>-3</v>
      </c>
      <c r="AJ34" s="130">
        <v>0</v>
      </c>
      <c r="AK34" s="130">
        <v>-1</v>
      </c>
      <c r="AL34" s="130">
        <v>-13</v>
      </c>
      <c r="AM34" s="130">
        <v>-2</v>
      </c>
      <c r="AN34" s="130">
        <v>0</v>
      </c>
      <c r="AO34" s="130">
        <v>-6</v>
      </c>
      <c r="AP34" s="130">
        <v>0</v>
      </c>
      <c r="AQ34" s="130">
        <v>-2</v>
      </c>
      <c r="AR34" s="130">
        <v>0</v>
      </c>
      <c r="AS34" s="130">
        <v>-4</v>
      </c>
      <c r="AT34" s="130">
        <v>-3</v>
      </c>
      <c r="AU34" s="130">
        <v>-4</v>
      </c>
      <c r="AV34" s="130">
        <v>-5</v>
      </c>
      <c r="AW34" s="130">
        <v>-8</v>
      </c>
      <c r="AX34" s="130">
        <v>0</v>
      </c>
      <c r="AY34" s="130">
        <v>0</v>
      </c>
      <c r="AZ34" s="130">
        <v>0</v>
      </c>
      <c r="BA34" s="130">
        <v>-3</v>
      </c>
      <c r="BB34" s="130">
        <v>0</v>
      </c>
      <c r="BC34" s="130">
        <v>-1</v>
      </c>
      <c r="BD34" s="130">
        <v>0</v>
      </c>
      <c r="BE34" s="130">
        <v>0</v>
      </c>
      <c r="BF34" s="130">
        <v>0</v>
      </c>
      <c r="BG34" s="130">
        <v>-1</v>
      </c>
      <c r="BH34" s="130">
        <v>-5</v>
      </c>
      <c r="BI34" s="130">
        <v>-1</v>
      </c>
      <c r="BJ34" s="130">
        <v>-2</v>
      </c>
      <c r="BK34" s="130">
        <v>-1</v>
      </c>
      <c r="BL34" s="130">
        <v>-3</v>
      </c>
      <c r="BM34" s="130">
        <v>-1</v>
      </c>
      <c r="BN34" s="130">
        <v>-4</v>
      </c>
      <c r="BO34" s="130">
        <v>-1</v>
      </c>
      <c r="BP34" s="130">
        <v>-3</v>
      </c>
      <c r="BQ34" s="130">
        <v>0</v>
      </c>
      <c r="BR34" s="130">
        <v>-2</v>
      </c>
      <c r="BS34" s="130">
        <v>-4</v>
      </c>
      <c r="BT34" s="130">
        <v>-3</v>
      </c>
      <c r="BU34" s="130">
        <v>-2</v>
      </c>
      <c r="BV34" s="130">
        <v>-8</v>
      </c>
      <c r="BW34" s="130">
        <v>0</v>
      </c>
      <c r="BX34" s="130">
        <v>-4</v>
      </c>
      <c r="BY34" s="130">
        <v>-2</v>
      </c>
      <c r="BZ34" s="130">
        <v>0</v>
      </c>
      <c r="CA34" s="130">
        <v>-3</v>
      </c>
      <c r="CB34" s="130">
        <v>-2</v>
      </c>
      <c r="CC34" s="130">
        <v>-16</v>
      </c>
      <c r="CD34" s="130">
        <v>-9</v>
      </c>
      <c r="CE34" s="130">
        <v>-1</v>
      </c>
      <c r="CF34" s="130">
        <v>-2</v>
      </c>
      <c r="CG34" s="130">
        <v>-7</v>
      </c>
    </row>
    <row r="35" spans="1:8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BK35" t="s">
        <v>94</v>
      </c>
      <c r="BO35" t="s">
        <v>94</v>
      </c>
      <c r="BS35" t="s">
        <v>94</v>
      </c>
    </row>
    <row r="36" spans="1:85">
      <c r="B36" s="10"/>
      <c r="C36" s="10"/>
      <c r="D36" s="10"/>
      <c r="E36" s="10"/>
      <c r="F36" s="2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85">
      <c r="B37" s="10"/>
      <c r="C37" s="10"/>
      <c r="D37" s="10"/>
      <c r="E37" s="10"/>
      <c r="F37" s="2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85">
      <c r="B38" s="10"/>
      <c r="C38" s="10"/>
      <c r="D38" s="10"/>
      <c r="E38" s="10"/>
      <c r="F38" s="2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85">
      <c r="B39" s="10"/>
      <c r="C39" s="10"/>
      <c r="D39" s="10"/>
      <c r="E39" s="10"/>
      <c r="F39" s="2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85" s="143" customFormat="1" outlineLevel="1">
      <c r="A40" s="140"/>
      <c r="B40" s="141"/>
      <c r="C40" s="141"/>
      <c r="D40" s="141"/>
      <c r="E40" s="142" t="str">
        <f t="shared" ref="E40:AN40" si="0">IF( ISERR( FIND( "Q4", E$28 ) ), "", LEFT( E$28, 4 ) )</f>
        <v>2001</v>
      </c>
      <c r="F40" s="142" t="str">
        <f t="shared" si="0"/>
        <v/>
      </c>
      <c r="G40" s="142" t="str">
        <f t="shared" si="0"/>
        <v/>
      </c>
      <c r="H40" s="142" t="str">
        <f t="shared" si="0"/>
        <v/>
      </c>
      <c r="I40" s="142" t="str">
        <f t="shared" si="0"/>
        <v>2002</v>
      </c>
      <c r="J40" s="142" t="str">
        <f t="shared" si="0"/>
        <v/>
      </c>
      <c r="K40" s="142" t="str">
        <f t="shared" si="0"/>
        <v/>
      </c>
      <c r="L40" s="142" t="str">
        <f t="shared" si="0"/>
        <v/>
      </c>
      <c r="M40" s="142" t="str">
        <f t="shared" si="0"/>
        <v>2003</v>
      </c>
      <c r="N40" s="142" t="str">
        <f t="shared" si="0"/>
        <v/>
      </c>
      <c r="O40" s="142" t="str">
        <f t="shared" si="0"/>
        <v/>
      </c>
      <c r="P40" s="142" t="str">
        <f t="shared" si="0"/>
        <v/>
      </c>
      <c r="Q40" s="142" t="str">
        <f t="shared" si="0"/>
        <v>2004</v>
      </c>
      <c r="R40" s="142" t="str">
        <f t="shared" si="0"/>
        <v/>
      </c>
      <c r="S40" s="142" t="str">
        <f t="shared" si="0"/>
        <v/>
      </c>
      <c r="T40" s="142" t="str">
        <f t="shared" si="0"/>
        <v/>
      </c>
      <c r="U40" s="142" t="str">
        <f t="shared" si="0"/>
        <v>2005</v>
      </c>
      <c r="V40" s="142" t="str">
        <f t="shared" si="0"/>
        <v/>
      </c>
      <c r="W40" s="142" t="str">
        <f t="shared" si="0"/>
        <v/>
      </c>
      <c r="X40" s="142" t="str">
        <f t="shared" si="0"/>
        <v/>
      </c>
      <c r="Y40" s="142" t="str">
        <f t="shared" si="0"/>
        <v>2006</v>
      </c>
      <c r="Z40" s="142" t="str">
        <f t="shared" si="0"/>
        <v/>
      </c>
      <c r="AA40" s="142" t="str">
        <f t="shared" si="0"/>
        <v/>
      </c>
      <c r="AB40" s="142" t="str">
        <f t="shared" si="0"/>
        <v/>
      </c>
      <c r="AC40" s="142" t="str">
        <f t="shared" si="0"/>
        <v>2007</v>
      </c>
      <c r="AD40" s="142" t="str">
        <f t="shared" si="0"/>
        <v/>
      </c>
      <c r="AE40" s="142" t="str">
        <f t="shared" si="0"/>
        <v/>
      </c>
      <c r="AF40" s="142" t="str">
        <f t="shared" si="0"/>
        <v/>
      </c>
      <c r="AG40" s="142" t="str">
        <f t="shared" si="0"/>
        <v>2008</v>
      </c>
      <c r="AH40" s="142" t="str">
        <f t="shared" si="0"/>
        <v/>
      </c>
      <c r="AI40" s="142" t="str">
        <f t="shared" si="0"/>
        <v/>
      </c>
      <c r="AJ40" s="142" t="str">
        <f t="shared" si="0"/>
        <v/>
      </c>
      <c r="AK40" s="142" t="str">
        <f t="shared" si="0"/>
        <v>2009</v>
      </c>
      <c r="AL40" s="142" t="str">
        <f t="shared" si="0"/>
        <v/>
      </c>
      <c r="AM40" s="142" t="str">
        <f t="shared" si="0"/>
        <v/>
      </c>
      <c r="AN40" s="142" t="str">
        <f t="shared" si="0"/>
        <v/>
      </c>
      <c r="AO40" s="142" t="str">
        <f>IF( ISERR( FIND( "Q4", AO$28 ) ), "", LEFT( AO$28, 4 ) )</f>
        <v>2010</v>
      </c>
      <c r="AP40" s="142" t="str">
        <f t="shared" ref="AP40:BX40" si="1">IF( ISERR( FIND( "Q4", AP$28 ) ), "", LEFT( AP$28, 4 ) )</f>
        <v/>
      </c>
      <c r="AQ40" s="142" t="str">
        <f t="shared" si="1"/>
        <v/>
      </c>
      <c r="AR40" s="142" t="str">
        <f t="shared" si="1"/>
        <v/>
      </c>
      <c r="AS40" s="142" t="str">
        <f t="shared" si="1"/>
        <v>2011</v>
      </c>
      <c r="AT40" s="142" t="str">
        <f t="shared" si="1"/>
        <v/>
      </c>
      <c r="AU40" s="142" t="str">
        <f t="shared" si="1"/>
        <v/>
      </c>
      <c r="AV40" s="142" t="str">
        <f t="shared" si="1"/>
        <v/>
      </c>
      <c r="AW40" s="142" t="str">
        <f t="shared" si="1"/>
        <v>2012</v>
      </c>
      <c r="AX40" s="142" t="str">
        <f t="shared" si="1"/>
        <v/>
      </c>
      <c r="AY40" s="142" t="str">
        <f t="shared" si="1"/>
        <v/>
      </c>
      <c r="AZ40" s="142" t="str">
        <f t="shared" si="1"/>
        <v/>
      </c>
      <c r="BA40" s="142" t="str">
        <f t="shared" si="1"/>
        <v>2013</v>
      </c>
      <c r="BB40" s="142" t="str">
        <f t="shared" si="1"/>
        <v/>
      </c>
      <c r="BC40" s="142" t="str">
        <f t="shared" si="1"/>
        <v/>
      </c>
      <c r="BD40" s="142" t="str">
        <f t="shared" si="1"/>
        <v/>
      </c>
      <c r="BE40" s="142" t="str">
        <f t="shared" si="1"/>
        <v>2014</v>
      </c>
      <c r="BF40" s="142" t="str">
        <f t="shared" si="1"/>
        <v/>
      </c>
      <c r="BG40" s="142" t="str">
        <f t="shared" si="1"/>
        <v/>
      </c>
      <c r="BH40" s="142" t="str">
        <f t="shared" si="1"/>
        <v/>
      </c>
      <c r="BI40" s="142" t="str">
        <f t="shared" si="1"/>
        <v>2015</v>
      </c>
      <c r="BJ40" s="142" t="str">
        <f t="shared" si="1"/>
        <v/>
      </c>
      <c r="BK40" s="142" t="str">
        <f t="shared" si="1"/>
        <v/>
      </c>
      <c r="BL40" s="142" t="str">
        <f t="shared" si="1"/>
        <v/>
      </c>
      <c r="BM40" s="142" t="str">
        <f>IF( ISERR( FIND( "Q4", BM$28 ) ), "", LEFT( BM$28, 4 ) )</f>
        <v>2016</v>
      </c>
      <c r="BN40" s="142" t="str">
        <f t="shared" si="1"/>
        <v/>
      </c>
      <c r="BO40" s="142" t="str">
        <f t="shared" si="1"/>
        <v/>
      </c>
      <c r="BP40" s="142" t="str">
        <f t="shared" si="1"/>
        <v/>
      </c>
      <c r="BQ40" s="142" t="str">
        <f>IF( ISERR( FIND( "Q4", BQ$28 ) ), "", LEFT( BQ$28, 4 ) )</f>
        <v>2017</v>
      </c>
      <c r="BR40" s="142" t="str">
        <f t="shared" si="1"/>
        <v/>
      </c>
      <c r="BS40" s="142" t="str">
        <f t="shared" si="1"/>
        <v/>
      </c>
      <c r="BT40" s="142" t="str">
        <f t="shared" si="1"/>
        <v/>
      </c>
      <c r="BU40" s="142">
        <v>2018</v>
      </c>
      <c r="BV40" s="142" t="str">
        <f t="shared" si="1"/>
        <v/>
      </c>
      <c r="BW40" s="142" t="str">
        <f t="shared" si="1"/>
        <v/>
      </c>
      <c r="BX40" s="142" t="str">
        <f t="shared" si="1"/>
        <v/>
      </c>
      <c r="BY40" s="142">
        <v>2019</v>
      </c>
      <c r="CC40" s="142">
        <v>2020</v>
      </c>
      <c r="CG40" s="142">
        <v>2021</v>
      </c>
    </row>
    <row r="41" spans="1:85" s="136" customFormat="1" outlineLevel="1">
      <c r="A41" s="133"/>
      <c r="B41" s="134"/>
      <c r="C41" s="134"/>
      <c r="D41" s="134"/>
      <c r="E41" s="134"/>
      <c r="F41" s="135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85" s="309" customFormat="1" outlineLevel="1">
      <c r="A42" s="308" t="s">
        <v>88</v>
      </c>
      <c r="E42" s="309">
        <f t="shared" ref="E42:N47" si="2">IF( ISERR( FIND( "Q4", E$28 ) ), "", SUM( B29:E29 ) )</f>
        <v>10</v>
      </c>
      <c r="F42" s="309" t="str">
        <f t="shared" si="2"/>
        <v/>
      </c>
      <c r="G42" s="309" t="str">
        <f t="shared" si="2"/>
        <v/>
      </c>
      <c r="H42" s="309" t="str">
        <f t="shared" si="2"/>
        <v/>
      </c>
      <c r="I42" s="309">
        <f t="shared" si="2"/>
        <v>2</v>
      </c>
      <c r="J42" s="309" t="str">
        <f t="shared" si="2"/>
        <v/>
      </c>
      <c r="K42" s="309" t="str">
        <f t="shared" si="2"/>
        <v/>
      </c>
      <c r="L42" s="309" t="str">
        <f t="shared" si="2"/>
        <v/>
      </c>
      <c r="M42" s="309">
        <f t="shared" si="2"/>
        <v>18</v>
      </c>
      <c r="N42" s="309" t="str">
        <f t="shared" si="2"/>
        <v/>
      </c>
      <c r="O42" s="309" t="str">
        <f t="shared" ref="O42:X47" si="3">IF( ISERR( FIND( "Q4", O$28 ) ), "", SUM( L29:O29 ) )</f>
        <v/>
      </c>
      <c r="P42" s="309" t="str">
        <f t="shared" si="3"/>
        <v/>
      </c>
      <c r="Q42" s="309">
        <f t="shared" si="3"/>
        <v>16</v>
      </c>
      <c r="R42" s="309" t="str">
        <f t="shared" si="3"/>
        <v/>
      </c>
      <c r="S42" s="309" t="str">
        <f t="shared" si="3"/>
        <v/>
      </c>
      <c r="T42" s="309" t="str">
        <f t="shared" si="3"/>
        <v/>
      </c>
      <c r="U42" s="309">
        <f t="shared" si="3"/>
        <v>18</v>
      </c>
      <c r="V42" s="309" t="str">
        <f t="shared" si="3"/>
        <v/>
      </c>
      <c r="W42" s="309" t="str">
        <f t="shared" si="3"/>
        <v/>
      </c>
      <c r="X42" s="309" t="str">
        <f t="shared" si="3"/>
        <v/>
      </c>
      <c r="Y42" s="309">
        <f t="shared" ref="Y42:AH47" si="4">IF( ISERR( FIND( "Q4", Y$28 ) ), "", SUM( V29:Y29 ) )</f>
        <v>25</v>
      </c>
      <c r="Z42" s="309" t="str">
        <f t="shared" si="4"/>
        <v/>
      </c>
      <c r="AA42" s="309" t="str">
        <f t="shared" si="4"/>
        <v/>
      </c>
      <c r="AB42" s="309" t="str">
        <f t="shared" si="4"/>
        <v/>
      </c>
      <c r="AC42" s="309">
        <f t="shared" si="4"/>
        <v>28</v>
      </c>
      <c r="AD42" s="309" t="str">
        <f t="shared" si="4"/>
        <v/>
      </c>
      <c r="AE42" s="309" t="str">
        <f t="shared" si="4"/>
        <v/>
      </c>
      <c r="AF42" s="309" t="str">
        <f t="shared" si="4"/>
        <v/>
      </c>
      <c r="AG42" s="309">
        <f t="shared" si="4"/>
        <v>8</v>
      </c>
      <c r="AH42" s="309" t="str">
        <f t="shared" si="4"/>
        <v/>
      </c>
      <c r="AI42" s="309" t="str">
        <f t="shared" ref="AI42:AR47" si="5">IF( ISERR( FIND( "Q4", AI$28 ) ), "", SUM( AF29:AI29 ) )</f>
        <v/>
      </c>
      <c r="AJ42" s="309" t="str">
        <f t="shared" si="5"/>
        <v/>
      </c>
      <c r="AK42" s="309">
        <f t="shared" si="5"/>
        <v>6</v>
      </c>
      <c r="AL42" s="309" t="str">
        <f t="shared" si="5"/>
        <v/>
      </c>
      <c r="AM42" s="309" t="str">
        <f t="shared" si="5"/>
        <v/>
      </c>
      <c r="AN42" s="309" t="str">
        <f t="shared" si="5"/>
        <v/>
      </c>
      <c r="AO42" s="309">
        <f t="shared" si="5"/>
        <v>7</v>
      </c>
      <c r="AP42" s="309" t="str">
        <f t="shared" si="5"/>
        <v/>
      </c>
      <c r="AQ42" s="309" t="str">
        <f t="shared" si="5"/>
        <v/>
      </c>
      <c r="AR42" s="309" t="str">
        <f t="shared" si="5"/>
        <v/>
      </c>
      <c r="AS42" s="309">
        <f t="shared" ref="AS42:AW47" si="6">IF( ISERR( FIND( "Q4", AS$28 ) ), "", SUM( AP29:AS29 ) )</f>
        <v>14</v>
      </c>
      <c r="AT42" s="309" t="str">
        <f t="shared" si="6"/>
        <v/>
      </c>
      <c r="AU42" s="309" t="str">
        <f t="shared" si="6"/>
        <v/>
      </c>
      <c r="AV42" s="309" t="str">
        <f t="shared" si="6"/>
        <v/>
      </c>
      <c r="AW42" s="309">
        <f t="shared" si="6"/>
        <v>13</v>
      </c>
      <c r="AX42" s="309" t="str">
        <f t="shared" ref="AX42:AX47" si="7">IF( ISERR( FIND( "Q4", AX$28 ) ), "", SUM( AQ29:AX29 ) )</f>
        <v/>
      </c>
      <c r="AY42" s="309" t="str">
        <f t="shared" ref="AY42:AY47" si="8">IF( ISERR( FIND( "Q4", AY$28 ) ), "", SUM( AR29:AY29 ) )</f>
        <v/>
      </c>
      <c r="AZ42" s="309" t="str">
        <f t="shared" ref="AZ42:AZ47" si="9">IF( ISERR( FIND( "Q4", AZ$28 ) ), "", SUM( AS29:AZ29 ) )</f>
        <v/>
      </c>
      <c r="BA42" s="309">
        <f t="shared" ref="BA42:BA47" si="10">IF( ISERR( FIND( "Q4", BA$28 ) ), "", SUM( AX29:BA29 ) )</f>
        <v>10</v>
      </c>
      <c r="BB42" s="309" t="str">
        <f t="shared" ref="BB42:BB47" si="11">IF( ISERR( FIND( "Q4", BB$28 ) ), "", SUM( AQ29:BB29 ) )</f>
        <v/>
      </c>
      <c r="BC42" s="309" t="str">
        <f t="shared" ref="BC42:BC47" si="12">IF( ISERR( FIND( "Q4", BC$28 ) ), "", SUM( AR29:BC29 ) )</f>
        <v/>
      </c>
      <c r="BD42" s="309" t="str">
        <f t="shared" ref="BD42:BD47" si="13">IF( ISERR( FIND( "Q4", BD$28 ) ), "", SUM( AS29:BD29 ) )</f>
        <v/>
      </c>
      <c r="BE42" s="309">
        <f t="shared" ref="BE42:BE47" si="14">IF( ISERR( FIND( "Q4", BE$28 ) ), "", SUM( BB29:BE29 ) )</f>
        <v>12</v>
      </c>
      <c r="BF42" s="309" t="str">
        <f t="shared" ref="BF42:BF47" si="15">IF( ISERR( FIND( "Q4", BF$28 ) ), "", SUM( AQ29:BF29 ) )</f>
        <v/>
      </c>
      <c r="BG42" s="309" t="str">
        <f t="shared" ref="BG42:BG47" si="16">IF( ISERR( FIND( "Q4", BG$28 ) ), "", SUM( AR29:BG29 ) )</f>
        <v/>
      </c>
      <c r="BH42" s="309" t="str">
        <f t="shared" ref="BH42:BH47" si="17">IF( ISERR( FIND( "Q4", BH$28 ) ), "", SUM( AS29:BH29 ) )</f>
        <v/>
      </c>
      <c r="BI42" s="309">
        <f t="shared" ref="BI42:BI47" si="18">IF( ISERR( FIND( "Q4", BI$28 ) ), "", SUM( BF29:BI29 ) )</f>
        <v>6</v>
      </c>
      <c r="BJ42" s="309" t="str">
        <f t="shared" ref="BJ42:BL47" si="19">IF( ISERR( FIND( "Q4", BJ$28 ) ), "", SUM( AQ29:BJ29 ) )</f>
        <v/>
      </c>
      <c r="BK42" s="309" t="str">
        <f t="shared" si="19"/>
        <v/>
      </c>
      <c r="BL42" s="309" t="str">
        <f t="shared" si="19"/>
        <v/>
      </c>
      <c r="BM42" s="309">
        <f t="shared" ref="BM42:BM47" si="20">IF( ISERR( FIND( "Q4", BM$28 ) ), "", SUM( BJ29:BM29 ) )</f>
        <v>13</v>
      </c>
      <c r="BN42" s="309" t="str">
        <f t="shared" ref="BN42:BP47" si="21">IF( ISERR( FIND( "Q4", BN$28 ) ), "", SUM( AQ29:BN29 ) )</f>
        <v/>
      </c>
      <c r="BO42" s="309" t="str">
        <f t="shared" si="21"/>
        <v/>
      </c>
      <c r="BP42" s="309" t="str">
        <f t="shared" si="21"/>
        <v/>
      </c>
      <c r="BQ42" s="309">
        <f t="shared" ref="BQ42:BQ47" si="22">IF( ISERR( FIND( "Q4", BQ$28 ) ), "", SUM( BN29:BQ29 ) )</f>
        <v>11</v>
      </c>
      <c r="BR42" s="309" t="str">
        <f t="shared" ref="BR42:BT47" si="23">IF( ISERR( FIND( "Q4", BR$28 ) ), "", SUM( AU29:BR29 ) )</f>
        <v/>
      </c>
      <c r="BS42" s="309" t="str">
        <f t="shared" si="23"/>
        <v/>
      </c>
      <c r="BT42" s="309" t="str">
        <f t="shared" si="23"/>
        <v/>
      </c>
      <c r="BU42" s="309">
        <f t="shared" ref="BU42:BU47" si="24">IF( ISERR( FIND( "Q4", BU$28 ) ), "", SUM( BR29:BU29 ) )</f>
        <v>12</v>
      </c>
      <c r="BV42" s="309" t="str">
        <f t="shared" ref="BV42:BV47" si="25">IF( ISERR( FIND( "Q4", BV$28 ) ), "", SUM( AY29:BV29 ) )</f>
        <v/>
      </c>
      <c r="BW42" s="309" t="str">
        <f t="shared" ref="BW42:BW47" si="26">IF( ISERR( FIND( "Q4", BW$28 ) ), "", SUM( AZ29:BW29 ) )</f>
        <v/>
      </c>
      <c r="BX42" s="309" t="str">
        <f t="shared" ref="BX42:BX47" si="27">IF( ISERR( FIND( "Q4", BX$28 ) ), "", SUM( BA29:BX29 ) )</f>
        <v/>
      </c>
      <c r="BY42" s="309">
        <f t="shared" ref="BY42:BY47" si="28">IF( ISERR( FIND( "Q4", BY$28 ) ), "", SUM( BV29:BY29 ) )</f>
        <v>26</v>
      </c>
      <c r="BZ42" s="309" t="str">
        <f t="shared" ref="BZ42:BZ47" si="29">IF( ISERR( FIND( "Q4", BZ$28 ) ), "", SUM( BW29:BZ29 ) )</f>
        <v/>
      </c>
      <c r="CA42" s="309" t="str">
        <f t="shared" ref="CA42:CA47" si="30">IF( ISERR( FIND( "Q4", CA$28 ) ), "", SUM( BX29:CA29 ) )</f>
        <v/>
      </c>
      <c r="CB42" s="309" t="str">
        <f t="shared" ref="CB42:CB47" si="31">IF( ISERR( FIND( "Q4", CB$28 ) ), "", SUM( BY29:CB29 ) )</f>
        <v/>
      </c>
      <c r="CC42" s="309">
        <f t="shared" ref="CC42:CC47" si="32">IF( ISERR( FIND( "Q4", CC$28 ) ), "", SUM( BZ29:CC29 ) )</f>
        <v>5</v>
      </c>
      <c r="CD42" s="309" t="str">
        <f t="shared" ref="CD42:CD47" ca="1" si="33">IF( ISERR( FIND( "Q4", CD$28 ) ), "", SUM( CA29:CD29 ) )</f>
        <v/>
      </c>
      <c r="CE42" s="309" t="str">
        <f t="shared" ref="CE42:CE47" ca="1" si="34">IF( ISERR( FIND( "Q4", CE$28 ) ), "", SUM( CB29:CE29 ) )</f>
        <v/>
      </c>
      <c r="CF42" s="309" t="str">
        <f t="shared" ref="CF42:CF47" ca="1" si="35">IF( ISERR( FIND( "Q4", CF$28 ) ), "", SUM( CC29:CF29 ) )</f>
        <v/>
      </c>
      <c r="CG42" s="309">
        <f t="shared" ref="CG42:CG47" ca="1" si="36">IF( ISERR( FIND( "Q4", CG$28 ) ), "", SUM( CD29:CG29 ) )</f>
        <v>2</v>
      </c>
    </row>
    <row r="43" spans="1:85" s="313" customFormat="1" outlineLevel="1">
      <c r="A43" s="312" t="s">
        <v>89</v>
      </c>
      <c r="E43" s="313">
        <f t="shared" si="2"/>
        <v>-28</v>
      </c>
      <c r="F43" s="313" t="str">
        <f t="shared" si="2"/>
        <v/>
      </c>
      <c r="G43" s="313" t="str">
        <f t="shared" si="2"/>
        <v/>
      </c>
      <c r="H43" s="313" t="str">
        <f t="shared" si="2"/>
        <v/>
      </c>
      <c r="I43" s="313">
        <f t="shared" si="2"/>
        <v>-55</v>
      </c>
      <c r="J43" s="313" t="str">
        <f t="shared" si="2"/>
        <v/>
      </c>
      <c r="K43" s="313" t="str">
        <f t="shared" si="2"/>
        <v/>
      </c>
      <c r="L43" s="313" t="str">
        <f t="shared" si="2"/>
        <v/>
      </c>
      <c r="M43" s="313">
        <f t="shared" si="2"/>
        <v>-44</v>
      </c>
      <c r="N43" s="313" t="str">
        <f t="shared" si="2"/>
        <v/>
      </c>
      <c r="O43" s="313" t="str">
        <f t="shared" si="3"/>
        <v/>
      </c>
      <c r="P43" s="313" t="str">
        <f t="shared" si="3"/>
        <v/>
      </c>
      <c r="Q43" s="313">
        <f t="shared" si="3"/>
        <v>-18</v>
      </c>
      <c r="R43" s="313" t="str">
        <f t="shared" si="3"/>
        <v/>
      </c>
      <c r="S43" s="313" t="str">
        <f t="shared" si="3"/>
        <v/>
      </c>
      <c r="T43" s="313" t="str">
        <f t="shared" si="3"/>
        <v/>
      </c>
      <c r="U43" s="313">
        <f t="shared" si="3"/>
        <v>-4</v>
      </c>
      <c r="V43" s="313" t="str">
        <f t="shared" si="3"/>
        <v/>
      </c>
      <c r="W43" s="313" t="str">
        <f t="shared" si="3"/>
        <v/>
      </c>
      <c r="X43" s="313" t="str">
        <f t="shared" si="3"/>
        <v/>
      </c>
      <c r="Y43" s="313">
        <f t="shared" si="4"/>
        <v>-6</v>
      </c>
      <c r="Z43" s="313" t="str">
        <f t="shared" si="4"/>
        <v/>
      </c>
      <c r="AA43" s="313" t="str">
        <f t="shared" si="4"/>
        <v/>
      </c>
      <c r="AB43" s="313" t="str">
        <f t="shared" si="4"/>
        <v/>
      </c>
      <c r="AC43" s="313">
        <f t="shared" si="4"/>
        <v>-13</v>
      </c>
      <c r="AD43" s="313" t="str">
        <f t="shared" si="4"/>
        <v/>
      </c>
      <c r="AE43" s="313" t="str">
        <f t="shared" si="4"/>
        <v/>
      </c>
      <c r="AF43" s="313" t="str">
        <f t="shared" si="4"/>
        <v/>
      </c>
      <c r="AG43" s="313">
        <f t="shared" si="4"/>
        <v>-9</v>
      </c>
      <c r="AH43" s="313" t="str">
        <f t="shared" si="4"/>
        <v/>
      </c>
      <c r="AI43" s="313" t="str">
        <f t="shared" si="5"/>
        <v/>
      </c>
      <c r="AJ43" s="313" t="str">
        <f t="shared" si="5"/>
        <v/>
      </c>
      <c r="AK43" s="313">
        <f t="shared" si="5"/>
        <v>-8</v>
      </c>
      <c r="AL43" s="313" t="str">
        <f t="shared" si="5"/>
        <v/>
      </c>
      <c r="AM43" s="313" t="str">
        <f t="shared" si="5"/>
        <v/>
      </c>
      <c r="AN43" s="313" t="str">
        <f t="shared" si="5"/>
        <v/>
      </c>
      <c r="AO43" s="313">
        <f t="shared" si="5"/>
        <v>-17</v>
      </c>
      <c r="AP43" s="313" t="str">
        <f t="shared" si="5"/>
        <v/>
      </c>
      <c r="AQ43" s="313" t="str">
        <f t="shared" si="5"/>
        <v/>
      </c>
      <c r="AR43" s="313" t="str">
        <f t="shared" si="5"/>
        <v/>
      </c>
      <c r="AS43" s="313">
        <f t="shared" si="6"/>
        <v>-11</v>
      </c>
      <c r="AT43" s="313" t="str">
        <f t="shared" si="6"/>
        <v/>
      </c>
      <c r="AU43" s="313" t="str">
        <f t="shared" si="6"/>
        <v/>
      </c>
      <c r="AV43" s="313" t="str">
        <f t="shared" si="6"/>
        <v/>
      </c>
      <c r="AW43" s="313">
        <f t="shared" si="6"/>
        <v>-13</v>
      </c>
      <c r="AX43" s="313" t="str">
        <f t="shared" si="7"/>
        <v/>
      </c>
      <c r="AY43" s="313" t="str">
        <f t="shared" si="8"/>
        <v/>
      </c>
      <c r="AZ43" s="313" t="str">
        <f t="shared" si="9"/>
        <v/>
      </c>
      <c r="BA43" s="313">
        <f t="shared" si="10"/>
        <v>-13</v>
      </c>
      <c r="BB43" s="313" t="str">
        <f t="shared" si="11"/>
        <v/>
      </c>
      <c r="BC43" s="313" t="str">
        <f t="shared" si="12"/>
        <v/>
      </c>
      <c r="BD43" s="313" t="str">
        <f t="shared" si="13"/>
        <v/>
      </c>
      <c r="BE43" s="313">
        <f t="shared" si="14"/>
        <v>-2</v>
      </c>
      <c r="BF43" s="313" t="str">
        <f t="shared" si="15"/>
        <v/>
      </c>
      <c r="BG43" s="313" t="str">
        <f t="shared" si="16"/>
        <v/>
      </c>
      <c r="BH43" s="313" t="str">
        <f t="shared" si="17"/>
        <v/>
      </c>
      <c r="BI43" s="313">
        <f t="shared" si="18"/>
        <v>-5</v>
      </c>
      <c r="BJ43" s="313" t="str">
        <f t="shared" si="19"/>
        <v/>
      </c>
      <c r="BK43" s="313" t="str">
        <f t="shared" si="19"/>
        <v/>
      </c>
      <c r="BL43" s="313" t="str">
        <f t="shared" si="19"/>
        <v/>
      </c>
      <c r="BM43" s="313">
        <f t="shared" si="20"/>
        <v>-3</v>
      </c>
      <c r="BN43" s="313" t="str">
        <f t="shared" si="21"/>
        <v/>
      </c>
      <c r="BO43" s="313" t="str">
        <f t="shared" si="21"/>
        <v/>
      </c>
      <c r="BP43" s="313" t="str">
        <f t="shared" si="21"/>
        <v/>
      </c>
      <c r="BQ43" s="313">
        <f t="shared" si="22"/>
        <v>-4</v>
      </c>
      <c r="BR43" s="313" t="str">
        <f t="shared" si="23"/>
        <v/>
      </c>
      <c r="BS43" s="313" t="str">
        <f t="shared" si="23"/>
        <v/>
      </c>
      <c r="BT43" s="313" t="str">
        <f t="shared" si="23"/>
        <v/>
      </c>
      <c r="BU43" s="313">
        <f t="shared" si="24"/>
        <v>-21</v>
      </c>
      <c r="BV43" s="313" t="str">
        <f t="shared" si="25"/>
        <v/>
      </c>
      <c r="BW43" s="313" t="str">
        <f t="shared" si="26"/>
        <v/>
      </c>
      <c r="BX43" s="313" t="str">
        <f t="shared" si="27"/>
        <v/>
      </c>
      <c r="BY43" s="313">
        <f t="shared" si="28"/>
        <v>-10</v>
      </c>
      <c r="BZ43" s="313" t="str">
        <f t="shared" si="29"/>
        <v/>
      </c>
      <c r="CA43" s="313" t="str">
        <f t="shared" si="30"/>
        <v/>
      </c>
      <c r="CB43" s="313" t="str">
        <f t="shared" si="31"/>
        <v/>
      </c>
      <c r="CC43" s="313">
        <f t="shared" si="32"/>
        <v>-19</v>
      </c>
      <c r="CD43" s="313" t="str">
        <f t="shared" ca="1" si="33"/>
        <v/>
      </c>
      <c r="CE43" s="313" t="str">
        <f t="shared" ca="1" si="34"/>
        <v/>
      </c>
      <c r="CF43" s="313" t="str">
        <f t="shared" ca="1" si="35"/>
        <v/>
      </c>
      <c r="CG43" s="313">
        <f t="shared" ca="1" si="36"/>
        <v>-4</v>
      </c>
    </row>
    <row r="44" spans="1:85" s="309" customFormat="1" outlineLevel="1">
      <c r="A44" s="308" t="s">
        <v>90</v>
      </c>
      <c r="E44" s="309">
        <f t="shared" si="2"/>
        <v>27</v>
      </c>
      <c r="F44" s="309" t="str">
        <f t="shared" si="2"/>
        <v/>
      </c>
      <c r="G44" s="309" t="str">
        <f t="shared" si="2"/>
        <v/>
      </c>
      <c r="H44" s="309" t="str">
        <f t="shared" si="2"/>
        <v/>
      </c>
      <c r="I44" s="309">
        <f t="shared" si="2"/>
        <v>5</v>
      </c>
      <c r="J44" s="309" t="str">
        <f t="shared" si="2"/>
        <v/>
      </c>
      <c r="K44" s="309" t="str">
        <f t="shared" si="2"/>
        <v/>
      </c>
      <c r="L44" s="309" t="str">
        <f t="shared" si="2"/>
        <v/>
      </c>
      <c r="M44" s="309">
        <f t="shared" si="2"/>
        <v>11</v>
      </c>
      <c r="N44" s="309" t="str">
        <f t="shared" si="2"/>
        <v/>
      </c>
      <c r="O44" s="309" t="str">
        <f t="shared" si="3"/>
        <v/>
      </c>
      <c r="P44" s="309" t="str">
        <f t="shared" si="3"/>
        <v/>
      </c>
      <c r="Q44" s="309">
        <f t="shared" si="3"/>
        <v>20</v>
      </c>
      <c r="R44" s="309" t="str">
        <f t="shared" si="3"/>
        <v/>
      </c>
      <c r="S44" s="309" t="str">
        <f t="shared" si="3"/>
        <v/>
      </c>
      <c r="T44" s="309" t="str">
        <f t="shared" si="3"/>
        <v/>
      </c>
      <c r="U44" s="309">
        <f t="shared" si="3"/>
        <v>31</v>
      </c>
      <c r="V44" s="309" t="str">
        <f t="shared" si="3"/>
        <v/>
      </c>
      <c r="W44" s="309" t="str">
        <f t="shared" si="3"/>
        <v/>
      </c>
      <c r="X44" s="309" t="str">
        <f t="shared" si="3"/>
        <v/>
      </c>
      <c r="Y44" s="309">
        <f t="shared" si="4"/>
        <v>22</v>
      </c>
      <c r="Z44" s="309" t="str">
        <f t="shared" si="4"/>
        <v/>
      </c>
      <c r="AA44" s="309" t="str">
        <f t="shared" si="4"/>
        <v/>
      </c>
      <c r="AB44" s="309" t="str">
        <f t="shared" si="4"/>
        <v/>
      </c>
      <c r="AC44" s="309">
        <f t="shared" si="4"/>
        <v>19</v>
      </c>
      <c r="AD44" s="309" t="str">
        <f t="shared" si="4"/>
        <v/>
      </c>
      <c r="AE44" s="309" t="str">
        <f t="shared" si="4"/>
        <v/>
      </c>
      <c r="AF44" s="309" t="str">
        <f t="shared" si="4"/>
        <v/>
      </c>
      <c r="AG44" s="309">
        <f t="shared" si="4"/>
        <v>3</v>
      </c>
      <c r="AH44" s="309" t="str">
        <f t="shared" si="4"/>
        <v/>
      </c>
      <c r="AI44" s="309" t="str">
        <f t="shared" si="5"/>
        <v/>
      </c>
      <c r="AJ44" s="309" t="str">
        <f t="shared" si="5"/>
        <v/>
      </c>
      <c r="AK44" s="309">
        <f t="shared" si="5"/>
        <v>5</v>
      </c>
      <c r="AL44" s="309" t="str">
        <f t="shared" si="5"/>
        <v/>
      </c>
      <c r="AM44" s="309" t="str">
        <f t="shared" si="5"/>
        <v/>
      </c>
      <c r="AN44" s="309" t="str">
        <f t="shared" si="5"/>
        <v/>
      </c>
      <c r="AO44" s="309">
        <f t="shared" si="5"/>
        <v>7</v>
      </c>
      <c r="AP44" s="309" t="str">
        <f t="shared" si="5"/>
        <v/>
      </c>
      <c r="AQ44" s="309" t="str">
        <f t="shared" si="5"/>
        <v/>
      </c>
      <c r="AR44" s="309" t="str">
        <f t="shared" si="5"/>
        <v/>
      </c>
      <c r="AS44" s="309">
        <f t="shared" si="6"/>
        <v>7</v>
      </c>
      <c r="AT44" s="309" t="str">
        <f t="shared" si="6"/>
        <v/>
      </c>
      <c r="AU44" s="309" t="str">
        <f t="shared" si="6"/>
        <v/>
      </c>
      <c r="AV44" s="309" t="str">
        <f t="shared" si="6"/>
        <v/>
      </c>
      <c r="AW44" s="309">
        <f t="shared" si="6"/>
        <v>14</v>
      </c>
      <c r="AX44" s="309" t="str">
        <f t="shared" si="7"/>
        <v/>
      </c>
      <c r="AY44" s="309" t="str">
        <f t="shared" si="8"/>
        <v/>
      </c>
      <c r="AZ44" s="309" t="str">
        <f t="shared" si="9"/>
        <v/>
      </c>
      <c r="BA44" s="309">
        <f t="shared" si="10"/>
        <v>13</v>
      </c>
      <c r="BB44" s="309" t="str">
        <f t="shared" si="11"/>
        <v/>
      </c>
      <c r="BC44" s="309" t="str">
        <f t="shared" si="12"/>
        <v/>
      </c>
      <c r="BD44" s="309" t="str">
        <f t="shared" si="13"/>
        <v/>
      </c>
      <c r="BE44" s="309">
        <f t="shared" si="14"/>
        <v>85</v>
      </c>
      <c r="BF44" s="309" t="str">
        <f t="shared" si="15"/>
        <v/>
      </c>
      <c r="BG44" s="309" t="str">
        <f t="shared" si="16"/>
        <v/>
      </c>
      <c r="BH44" s="309" t="str">
        <f t="shared" si="17"/>
        <v/>
      </c>
      <c r="BI44" s="309">
        <f t="shared" si="18"/>
        <v>9</v>
      </c>
      <c r="BJ44" s="309" t="str">
        <f t="shared" si="19"/>
        <v/>
      </c>
      <c r="BK44" s="309" t="str">
        <f t="shared" si="19"/>
        <v/>
      </c>
      <c r="BL44" s="309" t="str">
        <f t="shared" si="19"/>
        <v/>
      </c>
      <c r="BM44" s="309">
        <f t="shared" si="20"/>
        <v>5</v>
      </c>
      <c r="BN44" s="309" t="str">
        <f t="shared" si="21"/>
        <v/>
      </c>
      <c r="BO44" s="309" t="str">
        <f t="shared" si="21"/>
        <v/>
      </c>
      <c r="BP44" s="309" t="str">
        <f t="shared" si="21"/>
        <v/>
      </c>
      <c r="BQ44" s="309">
        <f t="shared" si="22"/>
        <v>10</v>
      </c>
      <c r="BR44" s="309" t="str">
        <f t="shared" si="23"/>
        <v/>
      </c>
      <c r="BS44" s="309" t="str">
        <f t="shared" si="23"/>
        <v/>
      </c>
      <c r="BT44" s="309" t="str">
        <f t="shared" si="23"/>
        <v/>
      </c>
      <c r="BU44" s="309">
        <f t="shared" si="24"/>
        <v>3</v>
      </c>
      <c r="BV44" s="309" t="str">
        <f t="shared" si="25"/>
        <v/>
      </c>
      <c r="BW44" s="309" t="str">
        <f t="shared" si="26"/>
        <v/>
      </c>
      <c r="BX44" s="309" t="str">
        <f t="shared" si="27"/>
        <v/>
      </c>
      <c r="BY44" s="309">
        <f t="shared" si="28"/>
        <v>9</v>
      </c>
      <c r="BZ44" s="309" t="str">
        <f t="shared" si="29"/>
        <v/>
      </c>
      <c r="CA44" s="309" t="str">
        <f t="shared" si="30"/>
        <v/>
      </c>
      <c r="CB44" s="309" t="str">
        <f t="shared" si="31"/>
        <v/>
      </c>
      <c r="CC44" s="309">
        <f t="shared" si="32"/>
        <v>5</v>
      </c>
      <c r="CD44" s="309" t="str">
        <f t="shared" ca="1" si="33"/>
        <v/>
      </c>
      <c r="CE44" s="309" t="str">
        <f t="shared" ca="1" si="34"/>
        <v/>
      </c>
      <c r="CF44" s="309" t="str">
        <f t="shared" ca="1" si="35"/>
        <v/>
      </c>
      <c r="CG44" s="309">
        <f t="shared" ca="1" si="36"/>
        <v>3</v>
      </c>
    </row>
    <row r="45" spans="1:85" s="313" customFormat="1" outlineLevel="1">
      <c r="A45" s="312" t="s">
        <v>91</v>
      </c>
      <c r="E45" s="313">
        <f t="shared" si="2"/>
        <v>-41</v>
      </c>
      <c r="F45" s="313" t="str">
        <f t="shared" si="2"/>
        <v/>
      </c>
      <c r="G45" s="313" t="str">
        <f t="shared" si="2"/>
        <v/>
      </c>
      <c r="H45" s="313" t="str">
        <f t="shared" si="2"/>
        <v/>
      </c>
      <c r="I45" s="313">
        <f t="shared" si="2"/>
        <v>-113</v>
      </c>
      <c r="J45" s="313" t="str">
        <f t="shared" si="2"/>
        <v/>
      </c>
      <c r="K45" s="313" t="str">
        <f t="shared" si="2"/>
        <v/>
      </c>
      <c r="L45" s="313" t="str">
        <f t="shared" si="2"/>
        <v/>
      </c>
      <c r="M45" s="313">
        <f t="shared" si="2"/>
        <v>-68</v>
      </c>
      <c r="N45" s="313" t="str">
        <f t="shared" si="2"/>
        <v/>
      </c>
      <c r="O45" s="313" t="str">
        <f t="shared" si="3"/>
        <v/>
      </c>
      <c r="P45" s="313" t="str">
        <f t="shared" si="3"/>
        <v/>
      </c>
      <c r="Q45" s="313">
        <f t="shared" si="3"/>
        <v>-22</v>
      </c>
      <c r="R45" s="313" t="str">
        <f t="shared" si="3"/>
        <v/>
      </c>
      <c r="S45" s="313" t="str">
        <f t="shared" si="3"/>
        <v/>
      </c>
      <c r="T45" s="313" t="str">
        <f t="shared" si="3"/>
        <v/>
      </c>
      <c r="U45" s="313">
        <f t="shared" si="3"/>
        <v>-15</v>
      </c>
      <c r="V45" s="313" t="str">
        <f t="shared" si="3"/>
        <v/>
      </c>
      <c r="W45" s="313" t="str">
        <f t="shared" si="3"/>
        <v/>
      </c>
      <c r="X45" s="313" t="str">
        <f t="shared" si="3"/>
        <v/>
      </c>
      <c r="Y45" s="313">
        <f t="shared" si="4"/>
        <v>-17</v>
      </c>
      <c r="Z45" s="313" t="str">
        <f t="shared" si="4"/>
        <v/>
      </c>
      <c r="AA45" s="313" t="str">
        <f t="shared" si="4"/>
        <v/>
      </c>
      <c r="AB45" s="313" t="str">
        <f t="shared" si="4"/>
        <v/>
      </c>
      <c r="AC45" s="313">
        <f t="shared" si="4"/>
        <v>-13</v>
      </c>
      <c r="AD45" s="313" t="str">
        <f t="shared" si="4"/>
        <v/>
      </c>
      <c r="AE45" s="313" t="str">
        <f t="shared" si="4"/>
        <v/>
      </c>
      <c r="AF45" s="313" t="str">
        <f t="shared" si="4"/>
        <v/>
      </c>
      <c r="AG45" s="313">
        <f t="shared" si="4"/>
        <v>-3</v>
      </c>
      <c r="AH45" s="313" t="str">
        <f t="shared" si="4"/>
        <v/>
      </c>
      <c r="AI45" s="313" t="str">
        <f t="shared" si="5"/>
        <v/>
      </c>
      <c r="AJ45" s="313" t="str">
        <f t="shared" si="5"/>
        <v/>
      </c>
      <c r="AK45" s="313">
        <f t="shared" si="5"/>
        <v>-18</v>
      </c>
      <c r="AL45" s="313" t="str">
        <f t="shared" si="5"/>
        <v/>
      </c>
      <c r="AM45" s="313" t="str">
        <f t="shared" si="5"/>
        <v/>
      </c>
      <c r="AN45" s="313" t="str">
        <f t="shared" si="5"/>
        <v/>
      </c>
      <c r="AO45" s="313">
        <f t="shared" si="5"/>
        <v>-13</v>
      </c>
      <c r="AP45" s="313" t="str">
        <f t="shared" si="5"/>
        <v/>
      </c>
      <c r="AQ45" s="313" t="str">
        <f t="shared" si="5"/>
        <v/>
      </c>
      <c r="AR45" s="313" t="str">
        <f t="shared" si="5"/>
        <v/>
      </c>
      <c r="AS45" s="313">
        <f t="shared" si="6"/>
        <v>-4</v>
      </c>
      <c r="AT45" s="313" t="str">
        <f t="shared" si="6"/>
        <v/>
      </c>
      <c r="AU45" s="313" t="str">
        <f t="shared" si="6"/>
        <v/>
      </c>
      <c r="AV45" s="313" t="str">
        <f t="shared" si="6"/>
        <v/>
      </c>
      <c r="AW45" s="313">
        <f t="shared" si="6"/>
        <v>-6</v>
      </c>
      <c r="AX45" s="313" t="str">
        <f t="shared" si="7"/>
        <v/>
      </c>
      <c r="AY45" s="313" t="str">
        <f t="shared" si="8"/>
        <v/>
      </c>
      <c r="AZ45" s="313" t="str">
        <f t="shared" si="9"/>
        <v/>
      </c>
      <c r="BA45" s="313">
        <f t="shared" si="10"/>
        <v>-4</v>
      </c>
      <c r="BB45" s="313" t="str">
        <f t="shared" si="11"/>
        <v/>
      </c>
      <c r="BC45" s="313" t="str">
        <f t="shared" si="12"/>
        <v/>
      </c>
      <c r="BD45" s="313" t="str">
        <f t="shared" si="13"/>
        <v/>
      </c>
      <c r="BE45" s="313">
        <f t="shared" si="14"/>
        <v>0</v>
      </c>
      <c r="BF45" s="313" t="str">
        <f t="shared" si="15"/>
        <v/>
      </c>
      <c r="BG45" s="313" t="str">
        <f t="shared" si="16"/>
        <v/>
      </c>
      <c r="BH45" s="313" t="str">
        <f t="shared" si="17"/>
        <v/>
      </c>
      <c r="BI45" s="313">
        <f t="shared" si="18"/>
        <v>-3</v>
      </c>
      <c r="BJ45" s="313" t="str">
        <f t="shared" si="19"/>
        <v/>
      </c>
      <c r="BK45" s="313" t="str">
        <f t="shared" si="19"/>
        <v/>
      </c>
      <c r="BL45" s="313" t="str">
        <f t="shared" si="19"/>
        <v/>
      </c>
      <c r="BM45" s="313">
        <f t="shared" si="20"/>
        <v>-8</v>
      </c>
      <c r="BN45" s="313" t="str">
        <f t="shared" si="21"/>
        <v/>
      </c>
      <c r="BO45" s="313" t="str">
        <f t="shared" si="21"/>
        <v/>
      </c>
      <c r="BP45" s="313" t="str">
        <f t="shared" si="21"/>
        <v/>
      </c>
      <c r="BQ45" s="313">
        <f t="shared" si="22"/>
        <v>-2</v>
      </c>
      <c r="BR45" s="313" t="str">
        <f t="shared" si="23"/>
        <v/>
      </c>
      <c r="BS45" s="313" t="str">
        <f t="shared" si="23"/>
        <v/>
      </c>
      <c r="BT45" s="313" t="str">
        <f t="shared" si="23"/>
        <v/>
      </c>
      <c r="BU45" s="313">
        <f t="shared" si="24"/>
        <v>-20</v>
      </c>
      <c r="BV45" s="313" t="str">
        <f t="shared" si="25"/>
        <v/>
      </c>
      <c r="BW45" s="313" t="str">
        <f t="shared" si="26"/>
        <v/>
      </c>
      <c r="BX45" s="313" t="str">
        <f t="shared" si="27"/>
        <v/>
      </c>
      <c r="BY45" s="313">
        <f t="shared" si="28"/>
        <v>-11</v>
      </c>
      <c r="BZ45" s="313" t="str">
        <f t="shared" si="29"/>
        <v/>
      </c>
      <c r="CA45" s="313" t="str">
        <f t="shared" si="30"/>
        <v/>
      </c>
      <c r="CB45" s="313" t="str">
        <f t="shared" si="31"/>
        <v/>
      </c>
      <c r="CC45" s="313">
        <f t="shared" si="32"/>
        <v>-7</v>
      </c>
      <c r="CD45" s="313" t="str">
        <f t="shared" ca="1" si="33"/>
        <v/>
      </c>
      <c r="CE45" s="313" t="str">
        <f t="shared" ca="1" si="34"/>
        <v/>
      </c>
      <c r="CF45" s="313" t="str">
        <f t="shared" ca="1" si="35"/>
        <v/>
      </c>
      <c r="CG45" s="313">
        <f t="shared" ca="1" si="36"/>
        <v>-9</v>
      </c>
    </row>
    <row r="46" spans="1:85" s="315" customFormat="1" outlineLevel="1">
      <c r="A46" s="314" t="s">
        <v>92</v>
      </c>
      <c r="E46" s="315">
        <f t="shared" si="2"/>
        <v>20</v>
      </c>
      <c r="F46" s="315" t="str">
        <f t="shared" si="2"/>
        <v/>
      </c>
      <c r="G46" s="315" t="str">
        <f t="shared" si="2"/>
        <v/>
      </c>
      <c r="H46" s="315" t="str">
        <f t="shared" si="2"/>
        <v/>
      </c>
      <c r="I46" s="315">
        <f t="shared" si="2"/>
        <v>14</v>
      </c>
      <c r="J46" s="315" t="str">
        <f t="shared" si="2"/>
        <v/>
      </c>
      <c r="K46" s="315" t="str">
        <f t="shared" si="2"/>
        <v/>
      </c>
      <c r="L46" s="315" t="str">
        <f t="shared" si="2"/>
        <v/>
      </c>
      <c r="M46" s="315">
        <f t="shared" si="2"/>
        <v>6</v>
      </c>
      <c r="N46" s="315" t="str">
        <f t="shared" si="2"/>
        <v/>
      </c>
      <c r="O46" s="315" t="str">
        <f t="shared" si="3"/>
        <v/>
      </c>
      <c r="P46" s="315" t="str">
        <f t="shared" si="3"/>
        <v/>
      </c>
      <c r="Q46" s="315">
        <f t="shared" si="3"/>
        <v>15</v>
      </c>
      <c r="R46" s="315" t="str">
        <f t="shared" si="3"/>
        <v/>
      </c>
      <c r="S46" s="315" t="str">
        <f t="shared" si="3"/>
        <v/>
      </c>
      <c r="T46" s="315" t="str">
        <f t="shared" si="3"/>
        <v/>
      </c>
      <c r="U46" s="315">
        <f t="shared" si="3"/>
        <v>24</v>
      </c>
      <c r="V46" s="315" t="str">
        <f t="shared" si="3"/>
        <v/>
      </c>
      <c r="W46" s="315" t="str">
        <f t="shared" si="3"/>
        <v/>
      </c>
      <c r="X46" s="315" t="str">
        <f t="shared" si="3"/>
        <v/>
      </c>
      <c r="Y46" s="315">
        <f t="shared" si="4"/>
        <v>20</v>
      </c>
      <c r="Z46" s="315" t="str">
        <f t="shared" si="4"/>
        <v/>
      </c>
      <c r="AA46" s="315" t="str">
        <f t="shared" si="4"/>
        <v/>
      </c>
      <c r="AB46" s="315" t="str">
        <f t="shared" si="4"/>
        <v/>
      </c>
      <c r="AC46" s="315">
        <f t="shared" si="4"/>
        <v>26</v>
      </c>
      <c r="AD46" s="315" t="str">
        <f t="shared" si="4"/>
        <v/>
      </c>
      <c r="AE46" s="315" t="str">
        <f t="shared" si="4"/>
        <v/>
      </c>
      <c r="AF46" s="315" t="str">
        <f t="shared" si="4"/>
        <v/>
      </c>
      <c r="AG46" s="315">
        <f t="shared" si="4"/>
        <v>13</v>
      </c>
      <c r="AH46" s="315" t="str">
        <f t="shared" si="4"/>
        <v/>
      </c>
      <c r="AI46" s="315" t="str">
        <f t="shared" si="5"/>
        <v/>
      </c>
      <c r="AJ46" s="315" t="str">
        <f t="shared" si="5"/>
        <v/>
      </c>
      <c r="AK46" s="315">
        <f t="shared" si="5"/>
        <v>12</v>
      </c>
      <c r="AL46" s="315" t="str">
        <f t="shared" si="5"/>
        <v/>
      </c>
      <c r="AM46" s="315" t="str">
        <f t="shared" si="5"/>
        <v/>
      </c>
      <c r="AN46" s="315" t="str">
        <f t="shared" si="5"/>
        <v/>
      </c>
      <c r="AO46" s="315">
        <f t="shared" si="5"/>
        <v>15</v>
      </c>
      <c r="AP46" s="315" t="str">
        <f t="shared" si="5"/>
        <v/>
      </c>
      <c r="AQ46" s="315" t="str">
        <f t="shared" si="5"/>
        <v/>
      </c>
      <c r="AR46" s="315" t="str">
        <f t="shared" si="5"/>
        <v/>
      </c>
      <c r="AS46" s="315">
        <f t="shared" si="6"/>
        <v>18</v>
      </c>
      <c r="AT46" s="315" t="str">
        <f t="shared" si="6"/>
        <v/>
      </c>
      <c r="AU46" s="315" t="str">
        <f t="shared" si="6"/>
        <v/>
      </c>
      <c r="AV46" s="315" t="str">
        <f t="shared" si="6"/>
        <v/>
      </c>
      <c r="AW46" s="315">
        <f t="shared" si="6"/>
        <v>10</v>
      </c>
      <c r="AX46" s="315" t="str">
        <f t="shared" si="7"/>
        <v/>
      </c>
      <c r="AY46" s="315" t="str">
        <f t="shared" si="8"/>
        <v/>
      </c>
      <c r="AZ46" s="315" t="str">
        <f t="shared" si="9"/>
        <v/>
      </c>
      <c r="BA46" s="315">
        <f t="shared" si="10"/>
        <v>37</v>
      </c>
      <c r="BB46" s="315" t="str">
        <f t="shared" si="11"/>
        <v/>
      </c>
      <c r="BC46" s="315" t="str">
        <f t="shared" si="12"/>
        <v/>
      </c>
      <c r="BD46" s="315" t="str">
        <f t="shared" si="13"/>
        <v/>
      </c>
      <c r="BE46" s="315">
        <f t="shared" si="14"/>
        <v>6</v>
      </c>
      <c r="BF46" s="315" t="str">
        <f t="shared" si="15"/>
        <v/>
      </c>
      <c r="BG46" s="315" t="str">
        <f t="shared" si="16"/>
        <v/>
      </c>
      <c r="BH46" s="315" t="str">
        <f t="shared" si="17"/>
        <v/>
      </c>
      <c r="BI46" s="315">
        <f t="shared" si="18"/>
        <v>20</v>
      </c>
      <c r="BJ46" s="315" t="str">
        <f t="shared" si="19"/>
        <v/>
      </c>
      <c r="BK46" s="315" t="str">
        <f t="shared" si="19"/>
        <v/>
      </c>
      <c r="BL46" s="315" t="str">
        <f t="shared" si="19"/>
        <v/>
      </c>
      <c r="BM46" s="315">
        <f t="shared" si="20"/>
        <v>31</v>
      </c>
      <c r="BN46" s="315" t="str">
        <f t="shared" si="21"/>
        <v/>
      </c>
      <c r="BO46" s="315" t="str">
        <f t="shared" si="21"/>
        <v/>
      </c>
      <c r="BP46" s="315" t="str">
        <f t="shared" si="21"/>
        <v/>
      </c>
      <c r="BQ46" s="315">
        <f t="shared" si="22"/>
        <v>17</v>
      </c>
      <c r="BR46" s="315" t="str">
        <f t="shared" si="23"/>
        <v/>
      </c>
      <c r="BS46" s="315" t="str">
        <f t="shared" si="23"/>
        <v/>
      </c>
      <c r="BT46" s="315" t="str">
        <f t="shared" si="23"/>
        <v/>
      </c>
      <c r="BU46" s="315">
        <f t="shared" si="24"/>
        <v>26</v>
      </c>
      <c r="BV46" s="315" t="str">
        <f t="shared" si="25"/>
        <v/>
      </c>
      <c r="BW46" s="315" t="str">
        <f t="shared" si="26"/>
        <v/>
      </c>
      <c r="BX46" s="315" t="str">
        <f t="shared" si="27"/>
        <v/>
      </c>
      <c r="BY46" s="315">
        <f t="shared" si="28"/>
        <v>20</v>
      </c>
      <c r="BZ46" s="315" t="str">
        <f t="shared" si="29"/>
        <v/>
      </c>
      <c r="CA46" s="315" t="str">
        <f t="shared" si="30"/>
        <v/>
      </c>
      <c r="CB46" s="315" t="str">
        <f t="shared" si="31"/>
        <v/>
      </c>
      <c r="CC46" s="315">
        <f t="shared" si="32"/>
        <v>2</v>
      </c>
      <c r="CD46" s="315" t="str">
        <f t="shared" ca="1" si="33"/>
        <v/>
      </c>
      <c r="CE46" s="315" t="str">
        <f t="shared" ca="1" si="34"/>
        <v/>
      </c>
      <c r="CF46" s="315" t="str">
        <f t="shared" ca="1" si="35"/>
        <v/>
      </c>
      <c r="CG46" s="315">
        <f t="shared" ca="1" si="36"/>
        <v>15</v>
      </c>
    </row>
    <row r="47" spans="1:85" s="313" customFormat="1" outlineLevel="1">
      <c r="A47" s="312" t="s">
        <v>93</v>
      </c>
      <c r="E47" s="313">
        <f t="shared" si="2"/>
        <v>-81</v>
      </c>
      <c r="F47" s="313" t="str">
        <f t="shared" si="2"/>
        <v/>
      </c>
      <c r="G47" s="313" t="str">
        <f t="shared" si="2"/>
        <v/>
      </c>
      <c r="H47" s="313" t="str">
        <f t="shared" si="2"/>
        <v/>
      </c>
      <c r="I47" s="313">
        <f t="shared" si="2"/>
        <v>-111</v>
      </c>
      <c r="J47" s="313" t="str">
        <f t="shared" si="2"/>
        <v/>
      </c>
      <c r="K47" s="313" t="str">
        <f t="shared" si="2"/>
        <v/>
      </c>
      <c r="L47" s="313" t="str">
        <f t="shared" si="2"/>
        <v/>
      </c>
      <c r="M47" s="313">
        <f t="shared" si="2"/>
        <v>-106</v>
      </c>
      <c r="N47" s="313" t="str">
        <f t="shared" si="2"/>
        <v/>
      </c>
      <c r="O47" s="313" t="str">
        <f t="shared" si="3"/>
        <v/>
      </c>
      <c r="P47" s="313" t="str">
        <f t="shared" si="3"/>
        <v/>
      </c>
      <c r="Q47" s="313">
        <f t="shared" si="3"/>
        <v>-19</v>
      </c>
      <c r="R47" s="313" t="str">
        <f t="shared" si="3"/>
        <v/>
      </c>
      <c r="S47" s="313" t="str">
        <f t="shared" si="3"/>
        <v/>
      </c>
      <c r="T47" s="313" t="str">
        <f t="shared" si="3"/>
        <v/>
      </c>
      <c r="U47" s="313">
        <f t="shared" si="3"/>
        <v>-29</v>
      </c>
      <c r="V47" s="313" t="str">
        <f t="shared" si="3"/>
        <v/>
      </c>
      <c r="W47" s="313" t="str">
        <f t="shared" si="3"/>
        <v/>
      </c>
      <c r="X47" s="313" t="str">
        <f t="shared" si="3"/>
        <v/>
      </c>
      <c r="Y47" s="313">
        <f t="shared" si="4"/>
        <v>-20</v>
      </c>
      <c r="Z47" s="313" t="str">
        <f t="shared" si="4"/>
        <v/>
      </c>
      <c r="AA47" s="313" t="str">
        <f t="shared" si="4"/>
        <v/>
      </c>
      <c r="AB47" s="313" t="str">
        <f t="shared" si="4"/>
        <v/>
      </c>
      <c r="AC47" s="313">
        <f t="shared" si="4"/>
        <v>-22</v>
      </c>
      <c r="AD47" s="313" t="str">
        <f t="shared" si="4"/>
        <v/>
      </c>
      <c r="AE47" s="313" t="str">
        <f t="shared" si="4"/>
        <v/>
      </c>
      <c r="AF47" s="313" t="str">
        <f t="shared" si="4"/>
        <v/>
      </c>
      <c r="AG47" s="313">
        <f t="shared" si="4"/>
        <v>-14</v>
      </c>
      <c r="AH47" s="313" t="str">
        <f t="shared" si="4"/>
        <v/>
      </c>
      <c r="AI47" s="313" t="str">
        <f t="shared" si="5"/>
        <v/>
      </c>
      <c r="AJ47" s="313" t="str">
        <f t="shared" si="5"/>
        <v/>
      </c>
      <c r="AK47" s="313">
        <f t="shared" si="5"/>
        <v>-8</v>
      </c>
      <c r="AL47" s="313" t="str">
        <f t="shared" si="5"/>
        <v/>
      </c>
      <c r="AM47" s="313" t="str">
        <f t="shared" si="5"/>
        <v/>
      </c>
      <c r="AN47" s="313" t="str">
        <f t="shared" si="5"/>
        <v/>
      </c>
      <c r="AO47" s="313">
        <f t="shared" si="5"/>
        <v>-21</v>
      </c>
      <c r="AP47" s="313" t="str">
        <f t="shared" si="5"/>
        <v/>
      </c>
      <c r="AQ47" s="313" t="str">
        <f t="shared" si="5"/>
        <v/>
      </c>
      <c r="AR47" s="313" t="str">
        <f t="shared" si="5"/>
        <v/>
      </c>
      <c r="AS47" s="313">
        <f t="shared" si="6"/>
        <v>-6</v>
      </c>
      <c r="AT47" s="313" t="str">
        <f t="shared" si="6"/>
        <v/>
      </c>
      <c r="AU47" s="313" t="str">
        <f t="shared" si="6"/>
        <v/>
      </c>
      <c r="AV47" s="313" t="str">
        <f t="shared" si="6"/>
        <v/>
      </c>
      <c r="AW47" s="313">
        <f t="shared" si="6"/>
        <v>-20</v>
      </c>
      <c r="AX47" s="313" t="str">
        <f t="shared" si="7"/>
        <v/>
      </c>
      <c r="AY47" s="313" t="str">
        <f t="shared" si="8"/>
        <v/>
      </c>
      <c r="AZ47" s="313" t="str">
        <f t="shared" si="9"/>
        <v/>
      </c>
      <c r="BA47" s="313">
        <f t="shared" si="10"/>
        <v>-3</v>
      </c>
      <c r="BB47" s="313" t="str">
        <f t="shared" si="11"/>
        <v/>
      </c>
      <c r="BC47" s="313" t="str">
        <f t="shared" si="12"/>
        <v/>
      </c>
      <c r="BD47" s="313" t="str">
        <f t="shared" si="13"/>
        <v/>
      </c>
      <c r="BE47" s="313">
        <f t="shared" si="14"/>
        <v>-1</v>
      </c>
      <c r="BF47" s="313" t="str">
        <f t="shared" si="15"/>
        <v/>
      </c>
      <c r="BG47" s="313" t="str">
        <f t="shared" si="16"/>
        <v/>
      </c>
      <c r="BH47" s="313" t="str">
        <f t="shared" si="17"/>
        <v/>
      </c>
      <c r="BI47" s="313">
        <f t="shared" si="18"/>
        <v>-7</v>
      </c>
      <c r="BJ47" s="313" t="str">
        <f t="shared" si="19"/>
        <v/>
      </c>
      <c r="BK47" s="313" t="str">
        <f t="shared" si="19"/>
        <v/>
      </c>
      <c r="BL47" s="313" t="str">
        <f t="shared" si="19"/>
        <v/>
      </c>
      <c r="BM47" s="313">
        <f t="shared" si="20"/>
        <v>-7</v>
      </c>
      <c r="BN47" s="313" t="str">
        <f t="shared" si="21"/>
        <v/>
      </c>
      <c r="BO47" s="313" t="str">
        <f t="shared" si="21"/>
        <v/>
      </c>
      <c r="BP47" s="313" t="str">
        <f t="shared" si="21"/>
        <v/>
      </c>
      <c r="BQ47" s="313">
        <f t="shared" si="22"/>
        <v>-8</v>
      </c>
      <c r="BR47" s="313" t="str">
        <f t="shared" si="23"/>
        <v/>
      </c>
      <c r="BS47" s="313" t="str">
        <f t="shared" si="23"/>
        <v/>
      </c>
      <c r="BT47" s="313" t="str">
        <f t="shared" si="23"/>
        <v/>
      </c>
      <c r="BU47" s="313">
        <f t="shared" si="24"/>
        <v>-11</v>
      </c>
      <c r="BV47" s="313" t="str">
        <f t="shared" si="25"/>
        <v/>
      </c>
      <c r="BW47" s="313" t="str">
        <f t="shared" si="26"/>
        <v/>
      </c>
      <c r="BX47" s="313" t="str">
        <f t="shared" si="27"/>
        <v/>
      </c>
      <c r="BY47" s="313">
        <f t="shared" si="28"/>
        <v>-14</v>
      </c>
      <c r="BZ47" s="313" t="str">
        <f t="shared" si="29"/>
        <v/>
      </c>
      <c r="CA47" s="313" t="str">
        <f t="shared" si="30"/>
        <v/>
      </c>
      <c r="CB47" s="313" t="str">
        <f t="shared" si="31"/>
        <v/>
      </c>
      <c r="CC47" s="313">
        <f t="shared" si="32"/>
        <v>-21</v>
      </c>
      <c r="CD47" s="313" t="str">
        <f t="shared" ca="1" si="33"/>
        <v/>
      </c>
      <c r="CE47" s="313" t="str">
        <f t="shared" ca="1" si="34"/>
        <v/>
      </c>
      <c r="CF47" s="313" t="str">
        <f t="shared" ca="1" si="35"/>
        <v/>
      </c>
      <c r="CG47" s="313">
        <f t="shared" ca="1" si="36"/>
        <v>-19</v>
      </c>
    </row>
    <row r="48" spans="1:85" s="122" customFormat="1" outlineLevel="1">
      <c r="B48" s="123"/>
      <c r="C48" s="123"/>
      <c r="D48" s="123"/>
      <c r="E48" s="123"/>
      <c r="F48" s="124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85" s="122" customFormat="1" outlineLevel="1">
      <c r="B49" s="123"/>
      <c r="C49" s="123"/>
      <c r="D49" s="123"/>
      <c r="E49" s="123"/>
      <c r="F49" s="124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</row>
    <row r="50" spans="1:85" s="309" customFormat="1" outlineLevel="1">
      <c r="A50" s="308" t="s">
        <v>95</v>
      </c>
      <c r="E50" s="309">
        <f t="shared" ref="E50:AR50" si="37">IF( LEN( E42 ) = 0, "", ABS( E42 ) + ABS( E43 ) )</f>
        <v>38</v>
      </c>
      <c r="F50" s="309" t="str">
        <f t="shared" si="37"/>
        <v/>
      </c>
      <c r="G50" s="309" t="str">
        <f t="shared" si="37"/>
        <v/>
      </c>
      <c r="H50" s="309" t="str">
        <f t="shared" si="37"/>
        <v/>
      </c>
      <c r="I50" s="309">
        <f t="shared" si="37"/>
        <v>57</v>
      </c>
      <c r="J50" s="309" t="str">
        <f t="shared" si="37"/>
        <v/>
      </c>
      <c r="K50" s="309" t="str">
        <f t="shared" si="37"/>
        <v/>
      </c>
      <c r="L50" s="309" t="str">
        <f t="shared" si="37"/>
        <v/>
      </c>
      <c r="M50" s="309">
        <f t="shared" si="37"/>
        <v>62</v>
      </c>
      <c r="N50" s="309" t="str">
        <f t="shared" si="37"/>
        <v/>
      </c>
      <c r="O50" s="309" t="str">
        <f t="shared" si="37"/>
        <v/>
      </c>
      <c r="P50" s="309" t="str">
        <f t="shared" si="37"/>
        <v/>
      </c>
      <c r="Q50" s="309">
        <f t="shared" si="37"/>
        <v>34</v>
      </c>
      <c r="R50" s="309" t="str">
        <f t="shared" si="37"/>
        <v/>
      </c>
      <c r="S50" s="309" t="str">
        <f t="shared" si="37"/>
        <v/>
      </c>
      <c r="T50" s="309" t="str">
        <f t="shared" si="37"/>
        <v/>
      </c>
      <c r="U50" s="309">
        <f t="shared" si="37"/>
        <v>22</v>
      </c>
      <c r="V50" s="309" t="str">
        <f t="shared" si="37"/>
        <v/>
      </c>
      <c r="W50" s="309" t="str">
        <f t="shared" si="37"/>
        <v/>
      </c>
      <c r="X50" s="309" t="str">
        <f t="shared" si="37"/>
        <v/>
      </c>
      <c r="Y50" s="309">
        <f t="shared" si="37"/>
        <v>31</v>
      </c>
      <c r="Z50" s="309" t="str">
        <f t="shared" si="37"/>
        <v/>
      </c>
      <c r="AA50" s="309" t="str">
        <f t="shared" si="37"/>
        <v/>
      </c>
      <c r="AB50" s="309" t="str">
        <f t="shared" si="37"/>
        <v/>
      </c>
      <c r="AC50" s="309">
        <f t="shared" si="37"/>
        <v>41</v>
      </c>
      <c r="AD50" s="309" t="str">
        <f t="shared" si="37"/>
        <v/>
      </c>
      <c r="AE50" s="309" t="str">
        <f t="shared" si="37"/>
        <v/>
      </c>
      <c r="AF50" s="309" t="str">
        <f t="shared" si="37"/>
        <v/>
      </c>
      <c r="AG50" s="309">
        <f t="shared" si="37"/>
        <v>17</v>
      </c>
      <c r="AH50" s="309" t="str">
        <f t="shared" si="37"/>
        <v/>
      </c>
      <c r="AI50" s="309" t="str">
        <f t="shared" si="37"/>
        <v/>
      </c>
      <c r="AJ50" s="309" t="str">
        <f t="shared" si="37"/>
        <v/>
      </c>
      <c r="AK50" s="309">
        <f t="shared" si="37"/>
        <v>14</v>
      </c>
      <c r="AL50" s="309" t="str">
        <f t="shared" si="37"/>
        <v/>
      </c>
      <c r="AM50" s="309" t="str">
        <f t="shared" si="37"/>
        <v/>
      </c>
      <c r="AN50" s="309" t="str">
        <f t="shared" si="37"/>
        <v/>
      </c>
      <c r="AO50" s="309">
        <f t="shared" si="37"/>
        <v>24</v>
      </c>
      <c r="AP50" s="309" t="str">
        <f t="shared" si="37"/>
        <v/>
      </c>
      <c r="AQ50" s="309" t="str">
        <f t="shared" si="37"/>
        <v/>
      </c>
      <c r="AR50" s="309" t="str">
        <f t="shared" si="37"/>
        <v/>
      </c>
      <c r="AS50" s="309">
        <f t="shared" ref="AS50:BU50" si="38">IF( LEN( AS42 ) = 0, "", ABS( AS42 ) + ABS( AS43 ) )</f>
        <v>25</v>
      </c>
      <c r="AT50" s="309" t="str">
        <f t="shared" si="38"/>
        <v/>
      </c>
      <c r="AU50" s="309" t="str">
        <f t="shared" si="38"/>
        <v/>
      </c>
      <c r="AV50" s="309" t="str">
        <f t="shared" si="38"/>
        <v/>
      </c>
      <c r="AW50" s="309">
        <f t="shared" si="38"/>
        <v>26</v>
      </c>
      <c r="AX50" s="309" t="str">
        <f t="shared" ref="AX50:BQ50" si="39">IF( LEN( AX42 ) = 0, "", ABS( AX42 ) + ABS( AX43 ) )</f>
        <v/>
      </c>
      <c r="AY50" s="309" t="str">
        <f t="shared" si="39"/>
        <v/>
      </c>
      <c r="AZ50" s="309" t="str">
        <f t="shared" si="39"/>
        <v/>
      </c>
      <c r="BA50" s="309">
        <f t="shared" si="39"/>
        <v>23</v>
      </c>
      <c r="BB50" s="309" t="str">
        <f t="shared" si="39"/>
        <v/>
      </c>
      <c r="BC50" s="309" t="str">
        <f t="shared" si="39"/>
        <v/>
      </c>
      <c r="BD50" s="309" t="str">
        <f t="shared" si="39"/>
        <v/>
      </c>
      <c r="BE50" s="309">
        <f t="shared" si="39"/>
        <v>14</v>
      </c>
      <c r="BF50" s="309" t="str">
        <f t="shared" si="39"/>
        <v/>
      </c>
      <c r="BG50" s="309" t="str">
        <f t="shared" si="39"/>
        <v/>
      </c>
      <c r="BH50" s="309" t="str">
        <f t="shared" si="39"/>
        <v/>
      </c>
      <c r="BI50" s="309">
        <f t="shared" si="39"/>
        <v>11</v>
      </c>
      <c r="BJ50" s="309" t="str">
        <f t="shared" si="39"/>
        <v/>
      </c>
      <c r="BK50" s="309" t="str">
        <f t="shared" si="39"/>
        <v/>
      </c>
      <c r="BL50" s="309" t="str">
        <f t="shared" si="39"/>
        <v/>
      </c>
      <c r="BM50" s="309">
        <f t="shared" si="39"/>
        <v>16</v>
      </c>
      <c r="BN50" s="309" t="str">
        <f t="shared" si="39"/>
        <v/>
      </c>
      <c r="BO50" s="309" t="str">
        <f t="shared" si="39"/>
        <v/>
      </c>
      <c r="BP50" s="309" t="str">
        <f t="shared" si="39"/>
        <v/>
      </c>
      <c r="BQ50" s="309">
        <f t="shared" si="39"/>
        <v>15</v>
      </c>
      <c r="BR50" s="309" t="str">
        <f t="shared" si="38"/>
        <v/>
      </c>
      <c r="BS50" s="309" t="str">
        <f t="shared" si="38"/>
        <v/>
      </c>
      <c r="BT50" s="309" t="str">
        <f t="shared" si="38"/>
        <v/>
      </c>
      <c r="BU50" s="309">
        <f t="shared" si="38"/>
        <v>33</v>
      </c>
      <c r="BV50" s="309" t="str">
        <f t="shared" ref="BV50:CC50" si="40">IF( LEN( BV42 ) = 0, "", ABS( BV42 ) + ABS( BV43 ) )</f>
        <v/>
      </c>
      <c r="BW50" s="309" t="str">
        <f t="shared" si="40"/>
        <v/>
      </c>
      <c r="BX50" s="309" t="str">
        <f t="shared" si="40"/>
        <v/>
      </c>
      <c r="BY50" s="309">
        <f t="shared" si="40"/>
        <v>36</v>
      </c>
      <c r="BZ50" s="309" t="str">
        <f t="shared" si="40"/>
        <v/>
      </c>
      <c r="CA50" s="309" t="str">
        <f t="shared" si="40"/>
        <v/>
      </c>
      <c r="CB50" s="309" t="str">
        <f t="shared" si="40"/>
        <v/>
      </c>
      <c r="CC50" s="309">
        <f t="shared" si="40"/>
        <v>24</v>
      </c>
      <c r="CD50" s="309" t="str">
        <f t="shared" ref="CD50:CG50" ca="1" si="41">IF( LEN( CD42 ) = 0, "", ABS( CD42 ) + ABS( CD43 ) )</f>
        <v/>
      </c>
      <c r="CE50" s="309" t="str">
        <f t="shared" ca="1" si="41"/>
        <v/>
      </c>
      <c r="CF50" s="309" t="str">
        <f t="shared" ca="1" si="41"/>
        <v/>
      </c>
      <c r="CG50" s="309">
        <f t="shared" ca="1" si="41"/>
        <v>6</v>
      </c>
    </row>
    <row r="51" spans="1:85" s="311" customFormat="1" outlineLevel="1">
      <c r="A51" s="310" t="s">
        <v>96</v>
      </c>
      <c r="E51" s="311">
        <f t="shared" ref="E51:AN51" si="42">IF( LEN( E44 ) = 0, "", ABS( E44 ) + ABS( E45 ) )</f>
        <v>68</v>
      </c>
      <c r="F51" s="311" t="str">
        <f t="shared" si="42"/>
        <v/>
      </c>
      <c r="G51" s="311" t="str">
        <f t="shared" si="42"/>
        <v/>
      </c>
      <c r="H51" s="311" t="str">
        <f t="shared" si="42"/>
        <v/>
      </c>
      <c r="I51" s="311">
        <f t="shared" si="42"/>
        <v>118</v>
      </c>
      <c r="J51" s="311" t="str">
        <f t="shared" si="42"/>
        <v/>
      </c>
      <c r="K51" s="311" t="str">
        <f t="shared" si="42"/>
        <v/>
      </c>
      <c r="L51" s="311" t="str">
        <f t="shared" si="42"/>
        <v/>
      </c>
      <c r="M51" s="311">
        <f t="shared" si="42"/>
        <v>79</v>
      </c>
      <c r="N51" s="311" t="str">
        <f t="shared" si="42"/>
        <v/>
      </c>
      <c r="O51" s="311" t="str">
        <f t="shared" si="42"/>
        <v/>
      </c>
      <c r="P51" s="311" t="str">
        <f t="shared" si="42"/>
        <v/>
      </c>
      <c r="Q51" s="311">
        <f t="shared" si="42"/>
        <v>42</v>
      </c>
      <c r="R51" s="311" t="str">
        <f t="shared" si="42"/>
        <v/>
      </c>
      <c r="S51" s="311" t="str">
        <f t="shared" si="42"/>
        <v/>
      </c>
      <c r="T51" s="311" t="str">
        <f t="shared" si="42"/>
        <v/>
      </c>
      <c r="U51" s="311">
        <f t="shared" si="42"/>
        <v>46</v>
      </c>
      <c r="V51" s="311" t="str">
        <f t="shared" si="42"/>
        <v/>
      </c>
      <c r="W51" s="311" t="str">
        <f t="shared" si="42"/>
        <v/>
      </c>
      <c r="X51" s="311" t="str">
        <f t="shared" si="42"/>
        <v/>
      </c>
      <c r="Y51" s="311">
        <f t="shared" si="42"/>
        <v>39</v>
      </c>
      <c r="Z51" s="311" t="str">
        <f t="shared" si="42"/>
        <v/>
      </c>
      <c r="AA51" s="311" t="str">
        <f t="shared" si="42"/>
        <v/>
      </c>
      <c r="AB51" s="311" t="str">
        <f t="shared" si="42"/>
        <v/>
      </c>
      <c r="AC51" s="311">
        <f t="shared" si="42"/>
        <v>32</v>
      </c>
      <c r="AD51" s="311" t="str">
        <f t="shared" si="42"/>
        <v/>
      </c>
      <c r="AE51" s="311" t="str">
        <f t="shared" si="42"/>
        <v/>
      </c>
      <c r="AF51" s="311" t="str">
        <f t="shared" si="42"/>
        <v/>
      </c>
      <c r="AG51" s="311">
        <f t="shared" si="42"/>
        <v>6</v>
      </c>
      <c r="AH51" s="311" t="str">
        <f t="shared" si="42"/>
        <v/>
      </c>
      <c r="AI51" s="311" t="str">
        <f t="shared" si="42"/>
        <v/>
      </c>
      <c r="AJ51" s="311" t="str">
        <f t="shared" si="42"/>
        <v/>
      </c>
      <c r="AK51" s="311">
        <f t="shared" si="42"/>
        <v>23</v>
      </c>
      <c r="AL51" s="311" t="str">
        <f t="shared" si="42"/>
        <v/>
      </c>
      <c r="AM51" s="311" t="str">
        <f t="shared" si="42"/>
        <v/>
      </c>
      <c r="AN51" s="311" t="str">
        <f t="shared" si="42"/>
        <v/>
      </c>
      <c r="AO51" s="311">
        <f>IF( LEN( AO44 ) = 0, "", ABS( AO44 ) + ABS( AO45 ) )</f>
        <v>20</v>
      </c>
      <c r="AP51" s="311" t="str">
        <f t="shared" ref="AP51:AW51" si="43">IF( LEN( AP44 ) = 0, "", ABS( AP44 ) + ABS( AP45 ) )</f>
        <v/>
      </c>
      <c r="AQ51" s="311" t="str">
        <f t="shared" si="43"/>
        <v/>
      </c>
      <c r="AR51" s="311" t="str">
        <f t="shared" si="43"/>
        <v/>
      </c>
      <c r="AS51" s="311">
        <f t="shared" si="43"/>
        <v>11</v>
      </c>
      <c r="AT51" s="311" t="str">
        <f t="shared" si="43"/>
        <v/>
      </c>
      <c r="AU51" s="311" t="str">
        <f t="shared" si="43"/>
        <v/>
      </c>
      <c r="AV51" s="311" t="str">
        <f t="shared" si="43"/>
        <v/>
      </c>
      <c r="AW51" s="311">
        <f t="shared" si="43"/>
        <v>20</v>
      </c>
      <c r="AX51" s="311" t="str">
        <f t="shared" ref="AX51:BU51" si="44">IF( LEN( AX44 ) = 0, "", ABS( AX44 ) + ABS( AX45 ) )</f>
        <v/>
      </c>
      <c r="AY51" s="311" t="str">
        <f t="shared" si="44"/>
        <v/>
      </c>
      <c r="AZ51" s="311" t="str">
        <f t="shared" si="44"/>
        <v/>
      </c>
      <c r="BA51" s="311">
        <f t="shared" si="44"/>
        <v>17</v>
      </c>
      <c r="BB51" s="311" t="str">
        <f t="shared" ref="BB51:BQ51" si="45">IF( LEN( BB44 ) = 0, "", ABS( BB44 ) + ABS( BB45 ) )</f>
        <v/>
      </c>
      <c r="BC51" s="311" t="str">
        <f t="shared" si="45"/>
        <v/>
      </c>
      <c r="BD51" s="311" t="str">
        <f t="shared" si="45"/>
        <v/>
      </c>
      <c r="BE51" s="311">
        <f t="shared" si="45"/>
        <v>85</v>
      </c>
      <c r="BF51" s="311" t="str">
        <f t="shared" si="45"/>
        <v/>
      </c>
      <c r="BG51" s="311" t="str">
        <f t="shared" si="45"/>
        <v/>
      </c>
      <c r="BH51" s="311" t="str">
        <f t="shared" si="45"/>
        <v/>
      </c>
      <c r="BI51" s="311">
        <f t="shared" si="45"/>
        <v>12</v>
      </c>
      <c r="BJ51" s="311" t="str">
        <f t="shared" si="45"/>
        <v/>
      </c>
      <c r="BK51" s="311" t="str">
        <f t="shared" si="45"/>
        <v/>
      </c>
      <c r="BL51" s="311" t="str">
        <f t="shared" si="45"/>
        <v/>
      </c>
      <c r="BM51" s="311">
        <f t="shared" si="45"/>
        <v>13</v>
      </c>
      <c r="BN51" s="311" t="str">
        <f t="shared" si="45"/>
        <v/>
      </c>
      <c r="BO51" s="311" t="str">
        <f t="shared" si="45"/>
        <v/>
      </c>
      <c r="BP51" s="311" t="str">
        <f t="shared" si="45"/>
        <v/>
      </c>
      <c r="BQ51" s="311">
        <f t="shared" si="45"/>
        <v>12</v>
      </c>
      <c r="BR51" s="311" t="str">
        <f t="shared" si="44"/>
        <v/>
      </c>
      <c r="BS51" s="311" t="str">
        <f t="shared" si="44"/>
        <v/>
      </c>
      <c r="BT51" s="311" t="str">
        <f t="shared" si="44"/>
        <v/>
      </c>
      <c r="BU51" s="311">
        <f t="shared" si="44"/>
        <v>23</v>
      </c>
      <c r="BV51" s="311" t="str">
        <f t="shared" ref="BV51:CC51" si="46">IF( LEN( BV44 ) = 0, "", ABS( BV44 ) + ABS( BV45 ) )</f>
        <v/>
      </c>
      <c r="BW51" s="311" t="str">
        <f t="shared" si="46"/>
        <v/>
      </c>
      <c r="BX51" s="311" t="str">
        <f t="shared" si="46"/>
        <v/>
      </c>
      <c r="BY51" s="311">
        <f t="shared" si="46"/>
        <v>20</v>
      </c>
      <c r="BZ51" s="311" t="str">
        <f t="shared" si="46"/>
        <v/>
      </c>
      <c r="CA51" s="311" t="str">
        <f t="shared" si="46"/>
        <v/>
      </c>
      <c r="CB51" s="311" t="str">
        <f t="shared" si="46"/>
        <v/>
      </c>
      <c r="CC51" s="311">
        <f t="shared" si="46"/>
        <v>12</v>
      </c>
      <c r="CD51" s="311" t="str">
        <f t="shared" ref="CD51:CG51" ca="1" si="47">IF( LEN( CD44 ) = 0, "", ABS( CD44 ) + ABS( CD45 ) )</f>
        <v/>
      </c>
      <c r="CE51" s="311" t="str">
        <f t="shared" ca="1" si="47"/>
        <v/>
      </c>
      <c r="CF51" s="311" t="str">
        <f t="shared" ca="1" si="47"/>
        <v/>
      </c>
      <c r="CG51" s="311">
        <f t="shared" ca="1" si="47"/>
        <v>12</v>
      </c>
    </row>
    <row r="52" spans="1:85" s="313" customFormat="1" outlineLevel="1">
      <c r="A52" s="312" t="s">
        <v>97</v>
      </c>
      <c r="E52" s="313">
        <f>IF( LEN( E46 ) = 0, "", ABS( E46 ) + ABS( E47 ) )</f>
        <v>101</v>
      </c>
      <c r="F52" s="313" t="str">
        <f t="shared" ref="F52:AS52" si="48">IF( LEN( F46 ) = 0, "", ABS( F46 ) + ABS( F47 ) )</f>
        <v/>
      </c>
      <c r="G52" s="313" t="str">
        <f t="shared" si="48"/>
        <v/>
      </c>
      <c r="H52" s="313" t="str">
        <f t="shared" si="48"/>
        <v/>
      </c>
      <c r="I52" s="313">
        <f t="shared" si="48"/>
        <v>125</v>
      </c>
      <c r="J52" s="313" t="str">
        <f t="shared" si="48"/>
        <v/>
      </c>
      <c r="K52" s="313" t="str">
        <f t="shared" si="48"/>
        <v/>
      </c>
      <c r="L52" s="313" t="str">
        <f t="shared" si="48"/>
        <v/>
      </c>
      <c r="M52" s="313">
        <f t="shared" si="48"/>
        <v>112</v>
      </c>
      <c r="N52" s="313" t="str">
        <f t="shared" si="48"/>
        <v/>
      </c>
      <c r="O52" s="313" t="str">
        <f t="shared" si="48"/>
        <v/>
      </c>
      <c r="P52" s="313" t="str">
        <f t="shared" si="48"/>
        <v/>
      </c>
      <c r="Q52" s="313">
        <f t="shared" si="48"/>
        <v>34</v>
      </c>
      <c r="R52" s="313" t="str">
        <f t="shared" si="48"/>
        <v/>
      </c>
      <c r="S52" s="313" t="str">
        <f t="shared" si="48"/>
        <v/>
      </c>
      <c r="T52" s="313" t="str">
        <f t="shared" si="48"/>
        <v/>
      </c>
      <c r="U52" s="313">
        <f t="shared" si="48"/>
        <v>53</v>
      </c>
      <c r="V52" s="313" t="str">
        <f t="shared" si="48"/>
        <v/>
      </c>
      <c r="W52" s="313" t="str">
        <f t="shared" si="48"/>
        <v/>
      </c>
      <c r="X52" s="313" t="str">
        <f t="shared" si="48"/>
        <v/>
      </c>
      <c r="Y52" s="313">
        <f t="shared" si="48"/>
        <v>40</v>
      </c>
      <c r="Z52" s="313" t="str">
        <f t="shared" si="48"/>
        <v/>
      </c>
      <c r="AA52" s="313" t="str">
        <f t="shared" si="48"/>
        <v/>
      </c>
      <c r="AB52" s="313" t="str">
        <f t="shared" si="48"/>
        <v/>
      </c>
      <c r="AC52" s="313">
        <f t="shared" si="48"/>
        <v>48</v>
      </c>
      <c r="AD52" s="313" t="str">
        <f t="shared" si="48"/>
        <v/>
      </c>
      <c r="AE52" s="313" t="str">
        <f t="shared" si="48"/>
        <v/>
      </c>
      <c r="AF52" s="313" t="str">
        <f t="shared" si="48"/>
        <v/>
      </c>
      <c r="AG52" s="313">
        <f t="shared" si="48"/>
        <v>27</v>
      </c>
      <c r="AH52" s="313" t="str">
        <f t="shared" si="48"/>
        <v/>
      </c>
      <c r="AI52" s="313" t="str">
        <f t="shared" si="48"/>
        <v/>
      </c>
      <c r="AJ52" s="313" t="str">
        <f t="shared" si="48"/>
        <v/>
      </c>
      <c r="AK52" s="313">
        <f t="shared" si="48"/>
        <v>20</v>
      </c>
      <c r="AL52" s="313" t="str">
        <f t="shared" si="48"/>
        <v/>
      </c>
      <c r="AM52" s="313" t="str">
        <f t="shared" si="48"/>
        <v/>
      </c>
      <c r="AN52" s="313" t="str">
        <f t="shared" si="48"/>
        <v/>
      </c>
      <c r="AO52" s="313">
        <f t="shared" si="48"/>
        <v>36</v>
      </c>
      <c r="AP52" s="313" t="str">
        <f t="shared" si="48"/>
        <v/>
      </c>
      <c r="AQ52" s="313" t="str">
        <f t="shared" si="48"/>
        <v/>
      </c>
      <c r="AR52" s="313" t="str">
        <f t="shared" si="48"/>
        <v/>
      </c>
      <c r="AS52" s="313">
        <f t="shared" si="48"/>
        <v>24</v>
      </c>
      <c r="AT52" s="313" t="str">
        <f t="shared" ref="AT52:BU52" si="49">IF( LEN( AT46 ) = 0, "", ABS( AT46 ) + ABS( AT47 ) )</f>
        <v/>
      </c>
      <c r="AU52" s="313" t="str">
        <f t="shared" si="49"/>
        <v/>
      </c>
      <c r="AV52" s="313" t="str">
        <f t="shared" si="49"/>
        <v/>
      </c>
      <c r="AW52" s="313">
        <f t="shared" si="49"/>
        <v>30</v>
      </c>
      <c r="AX52" s="313" t="str">
        <f t="shared" ref="AX52:BQ52" si="50">IF( LEN( AX46 ) = 0, "", ABS( AX46 ) + ABS( AX47 ) )</f>
        <v/>
      </c>
      <c r="AY52" s="313" t="str">
        <f t="shared" si="50"/>
        <v/>
      </c>
      <c r="AZ52" s="313" t="str">
        <f t="shared" si="50"/>
        <v/>
      </c>
      <c r="BA52" s="313">
        <f t="shared" si="50"/>
        <v>40</v>
      </c>
      <c r="BB52" s="313" t="str">
        <f t="shared" si="50"/>
        <v/>
      </c>
      <c r="BC52" s="313" t="str">
        <f t="shared" si="50"/>
        <v/>
      </c>
      <c r="BD52" s="313" t="str">
        <f t="shared" si="50"/>
        <v/>
      </c>
      <c r="BE52" s="313">
        <f t="shared" si="50"/>
        <v>7</v>
      </c>
      <c r="BF52" s="313" t="str">
        <f t="shared" si="50"/>
        <v/>
      </c>
      <c r="BG52" s="313" t="str">
        <f t="shared" si="50"/>
        <v/>
      </c>
      <c r="BH52" s="313" t="str">
        <f t="shared" si="50"/>
        <v/>
      </c>
      <c r="BI52" s="313">
        <f t="shared" si="50"/>
        <v>27</v>
      </c>
      <c r="BJ52" s="313" t="str">
        <f t="shared" si="50"/>
        <v/>
      </c>
      <c r="BK52" s="313" t="str">
        <f t="shared" si="50"/>
        <v/>
      </c>
      <c r="BL52" s="313" t="str">
        <f t="shared" si="50"/>
        <v/>
      </c>
      <c r="BM52" s="313">
        <f t="shared" si="50"/>
        <v>38</v>
      </c>
      <c r="BN52" s="313" t="str">
        <f t="shared" si="50"/>
        <v/>
      </c>
      <c r="BO52" s="313" t="str">
        <f t="shared" si="50"/>
        <v/>
      </c>
      <c r="BP52" s="313" t="str">
        <f t="shared" si="50"/>
        <v/>
      </c>
      <c r="BQ52" s="313">
        <f t="shared" si="50"/>
        <v>25</v>
      </c>
      <c r="BR52" s="313" t="str">
        <f t="shared" si="49"/>
        <v/>
      </c>
      <c r="BS52" s="313" t="str">
        <f t="shared" si="49"/>
        <v/>
      </c>
      <c r="BT52" s="313" t="str">
        <f t="shared" si="49"/>
        <v/>
      </c>
      <c r="BU52" s="313">
        <f t="shared" si="49"/>
        <v>37</v>
      </c>
      <c r="BV52" s="313" t="str">
        <f t="shared" ref="BV52:CC52" si="51">IF( LEN( BV46 ) = 0, "", ABS( BV46 ) + ABS( BV47 ) )</f>
        <v/>
      </c>
      <c r="BW52" s="313" t="str">
        <f t="shared" si="51"/>
        <v/>
      </c>
      <c r="BX52" s="313" t="str">
        <f t="shared" si="51"/>
        <v/>
      </c>
      <c r="BY52" s="313">
        <f t="shared" si="51"/>
        <v>34</v>
      </c>
      <c r="BZ52" s="313" t="str">
        <f t="shared" si="51"/>
        <v/>
      </c>
      <c r="CA52" s="313" t="str">
        <f t="shared" si="51"/>
        <v/>
      </c>
      <c r="CB52" s="313" t="str">
        <f t="shared" si="51"/>
        <v/>
      </c>
      <c r="CC52" s="313">
        <f t="shared" si="51"/>
        <v>23</v>
      </c>
      <c r="CD52" s="313" t="str">
        <f t="shared" ref="CD52:CG52" ca="1" si="52">IF( LEN( CD46 ) = 0, "", ABS( CD46 ) + ABS( CD47 ) )</f>
        <v/>
      </c>
      <c r="CE52" s="313" t="str">
        <f t="shared" ca="1" si="52"/>
        <v/>
      </c>
      <c r="CF52" s="313" t="str">
        <f t="shared" ca="1" si="52"/>
        <v/>
      </c>
      <c r="CG52" s="313">
        <f t="shared" ca="1" si="52"/>
        <v>34</v>
      </c>
    </row>
    <row r="53" spans="1:85" s="139" customFormat="1" outlineLevel="1">
      <c r="A53" s="137" t="s">
        <v>98</v>
      </c>
      <c r="B53" s="138"/>
      <c r="C53" s="138"/>
      <c r="D53" s="138"/>
      <c r="E53" s="138">
        <f>IF( LEN( E51 ) = 0, "", ABS( E50 ) + ABS( E51 )  + ABS( E52 ) )</f>
        <v>207</v>
      </c>
      <c r="F53" s="138" t="str">
        <f t="shared" ref="F53:AW53" si="53">IF( LEN( F51 ) = 0, "", ABS( F50 ) + ABS( F51 )  + ABS( F52 ) )</f>
        <v/>
      </c>
      <c r="G53" s="138" t="str">
        <f t="shared" si="53"/>
        <v/>
      </c>
      <c r="H53" s="138" t="str">
        <f t="shared" si="53"/>
        <v/>
      </c>
      <c r="I53" s="138">
        <f t="shared" si="53"/>
        <v>300</v>
      </c>
      <c r="J53" s="138" t="str">
        <f t="shared" si="53"/>
        <v/>
      </c>
      <c r="K53" s="138" t="str">
        <f t="shared" si="53"/>
        <v/>
      </c>
      <c r="L53" s="138" t="str">
        <f t="shared" si="53"/>
        <v/>
      </c>
      <c r="M53" s="138">
        <f t="shared" si="53"/>
        <v>253</v>
      </c>
      <c r="N53" s="138" t="str">
        <f t="shared" si="53"/>
        <v/>
      </c>
      <c r="O53" s="138" t="str">
        <f t="shared" si="53"/>
        <v/>
      </c>
      <c r="P53" s="138" t="str">
        <f t="shared" si="53"/>
        <v/>
      </c>
      <c r="Q53" s="138">
        <f t="shared" si="53"/>
        <v>110</v>
      </c>
      <c r="R53" s="138" t="str">
        <f t="shared" si="53"/>
        <v/>
      </c>
      <c r="S53" s="138" t="str">
        <f t="shared" si="53"/>
        <v/>
      </c>
      <c r="T53" s="138" t="str">
        <f t="shared" si="53"/>
        <v/>
      </c>
      <c r="U53" s="138">
        <f t="shared" si="53"/>
        <v>121</v>
      </c>
      <c r="V53" s="138" t="str">
        <f t="shared" si="53"/>
        <v/>
      </c>
      <c r="W53" s="138" t="str">
        <f t="shared" si="53"/>
        <v/>
      </c>
      <c r="X53" s="138" t="str">
        <f t="shared" si="53"/>
        <v/>
      </c>
      <c r="Y53" s="138">
        <f t="shared" si="53"/>
        <v>110</v>
      </c>
      <c r="Z53" s="138" t="str">
        <f t="shared" si="53"/>
        <v/>
      </c>
      <c r="AA53" s="138" t="str">
        <f t="shared" si="53"/>
        <v/>
      </c>
      <c r="AB53" s="138" t="str">
        <f t="shared" si="53"/>
        <v/>
      </c>
      <c r="AC53" s="138">
        <f t="shared" si="53"/>
        <v>121</v>
      </c>
      <c r="AD53" s="138" t="str">
        <f t="shared" si="53"/>
        <v/>
      </c>
      <c r="AE53" s="138" t="str">
        <f t="shared" si="53"/>
        <v/>
      </c>
      <c r="AF53" s="138" t="str">
        <f t="shared" si="53"/>
        <v/>
      </c>
      <c r="AG53" s="138">
        <f t="shared" si="53"/>
        <v>50</v>
      </c>
      <c r="AH53" s="138" t="str">
        <f t="shared" si="53"/>
        <v/>
      </c>
      <c r="AI53" s="138" t="str">
        <f t="shared" si="53"/>
        <v/>
      </c>
      <c r="AJ53" s="138" t="str">
        <f t="shared" si="53"/>
        <v/>
      </c>
      <c r="AK53" s="138">
        <f t="shared" si="53"/>
        <v>57</v>
      </c>
      <c r="AL53" s="138" t="str">
        <f t="shared" si="53"/>
        <v/>
      </c>
      <c r="AM53" s="138" t="str">
        <f t="shared" si="53"/>
        <v/>
      </c>
      <c r="AN53" s="138" t="str">
        <f t="shared" si="53"/>
        <v/>
      </c>
      <c r="AO53" s="138">
        <f t="shared" si="53"/>
        <v>80</v>
      </c>
      <c r="AP53" s="138" t="str">
        <f t="shared" si="53"/>
        <v/>
      </c>
      <c r="AQ53" s="138" t="str">
        <f t="shared" si="53"/>
        <v/>
      </c>
      <c r="AR53" s="138" t="str">
        <f t="shared" si="53"/>
        <v/>
      </c>
      <c r="AS53" s="138">
        <f t="shared" si="53"/>
        <v>60</v>
      </c>
      <c r="AT53" s="138" t="str">
        <f t="shared" si="53"/>
        <v/>
      </c>
      <c r="AU53" s="138" t="str">
        <f t="shared" si="53"/>
        <v/>
      </c>
      <c r="AV53" s="138" t="str">
        <f t="shared" si="53"/>
        <v/>
      </c>
      <c r="AW53" s="138">
        <f t="shared" si="53"/>
        <v>76</v>
      </c>
      <c r="AX53" s="138" t="str">
        <f t="shared" ref="AX53:BU53" si="54">IF( LEN( AX51 ) = 0, "", ABS( AX50 ) + ABS( AX51 )  + ABS( AX52 ) )</f>
        <v/>
      </c>
      <c r="AY53" s="138" t="str">
        <f t="shared" si="54"/>
        <v/>
      </c>
      <c r="AZ53" s="138" t="str">
        <f t="shared" si="54"/>
        <v/>
      </c>
      <c r="BA53" s="138">
        <f t="shared" si="54"/>
        <v>80</v>
      </c>
      <c r="BB53" s="138" t="str">
        <f t="shared" ref="BB53:BQ53" si="55">IF( LEN( BB51 ) = 0, "", ABS( BB50 ) + ABS( BB51 )  + ABS( BB52 ) )</f>
        <v/>
      </c>
      <c r="BC53" s="138" t="str">
        <f t="shared" si="55"/>
        <v/>
      </c>
      <c r="BD53" s="138" t="str">
        <f t="shared" si="55"/>
        <v/>
      </c>
      <c r="BE53" s="138">
        <f t="shared" si="55"/>
        <v>106</v>
      </c>
      <c r="BF53" s="138" t="str">
        <f t="shared" si="55"/>
        <v/>
      </c>
      <c r="BG53" s="138" t="str">
        <f t="shared" si="55"/>
        <v/>
      </c>
      <c r="BH53" s="138" t="str">
        <f t="shared" si="55"/>
        <v/>
      </c>
      <c r="BI53" s="138">
        <f t="shared" si="55"/>
        <v>50</v>
      </c>
      <c r="BJ53" s="138" t="str">
        <f t="shared" si="55"/>
        <v/>
      </c>
      <c r="BK53" s="138" t="str">
        <f t="shared" si="55"/>
        <v/>
      </c>
      <c r="BL53" s="138" t="str">
        <f t="shared" si="55"/>
        <v/>
      </c>
      <c r="BM53" s="138">
        <f t="shared" si="55"/>
        <v>67</v>
      </c>
      <c r="BN53" s="138" t="str">
        <f t="shared" si="55"/>
        <v/>
      </c>
      <c r="BO53" s="138" t="str">
        <f t="shared" si="55"/>
        <v/>
      </c>
      <c r="BP53" s="138" t="str">
        <f t="shared" si="55"/>
        <v/>
      </c>
      <c r="BQ53" s="138">
        <f t="shared" si="55"/>
        <v>52</v>
      </c>
      <c r="BR53" s="138" t="str">
        <f t="shared" si="54"/>
        <v/>
      </c>
      <c r="BS53" s="138" t="str">
        <f t="shared" si="54"/>
        <v/>
      </c>
      <c r="BT53" s="138" t="str">
        <f t="shared" si="54"/>
        <v/>
      </c>
      <c r="BU53" s="138">
        <f t="shared" si="54"/>
        <v>93</v>
      </c>
      <c r="BV53" s="138" t="str">
        <f t="shared" ref="BV53:CC53" si="56">IF( LEN( BV51 ) = 0, "", ABS( BV50 ) + ABS( BV51 )  + ABS( BV52 ) )</f>
        <v/>
      </c>
      <c r="BW53" s="138" t="str">
        <f t="shared" si="56"/>
        <v/>
      </c>
      <c r="BX53" s="138" t="str">
        <f t="shared" si="56"/>
        <v/>
      </c>
      <c r="BY53" s="138">
        <f t="shared" si="56"/>
        <v>90</v>
      </c>
      <c r="BZ53" s="138" t="str">
        <f t="shared" si="56"/>
        <v/>
      </c>
      <c r="CA53" s="138" t="str">
        <f t="shared" si="56"/>
        <v/>
      </c>
      <c r="CB53" s="138" t="str">
        <f t="shared" si="56"/>
        <v/>
      </c>
      <c r="CC53" s="138">
        <f t="shared" si="56"/>
        <v>59</v>
      </c>
      <c r="CD53" s="138" t="str">
        <f t="shared" ref="CD53:CG53" ca="1" si="57">IF( LEN( CD51 ) = 0, "", ABS( CD50 ) + ABS( CD51 )  + ABS( CD52 ) )</f>
        <v/>
      </c>
      <c r="CE53" s="138" t="str">
        <f t="shared" ca="1" si="57"/>
        <v/>
      </c>
      <c r="CF53" s="138" t="str">
        <f t="shared" ca="1" si="57"/>
        <v/>
      </c>
      <c r="CG53" s="138">
        <f t="shared" ca="1" si="57"/>
        <v>52</v>
      </c>
    </row>
    <row r="54" spans="1:85" s="122" customFormat="1" outlineLevel="1">
      <c r="B54" s="123"/>
      <c r="C54" s="123"/>
      <c r="D54" s="123"/>
      <c r="E54" s="123"/>
      <c r="F54" s="124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</row>
    <row r="55" spans="1:85" s="122" customFormat="1" outlineLevel="1">
      <c r="B55" s="123"/>
      <c r="C55" s="123"/>
      <c r="D55" s="123"/>
      <c r="E55" s="123"/>
      <c r="F55" s="124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</row>
    <row r="56" spans="1:85" s="309" customFormat="1" outlineLevel="1">
      <c r="A56" s="308" t="s">
        <v>99</v>
      </c>
      <c r="B56" s="309">
        <f t="shared" ref="B56:BM56" si="58">SUM(B29,B31,B33)</f>
        <v>23</v>
      </c>
      <c r="C56" s="309">
        <f t="shared" si="58"/>
        <v>14</v>
      </c>
      <c r="D56" s="309">
        <f t="shared" si="58"/>
        <v>6</v>
      </c>
      <c r="E56" s="309">
        <f t="shared" si="58"/>
        <v>14</v>
      </c>
      <c r="F56" s="309">
        <f t="shared" si="58"/>
        <v>6</v>
      </c>
      <c r="G56" s="309">
        <f t="shared" si="58"/>
        <v>2</v>
      </c>
      <c r="H56" s="309">
        <f t="shared" si="58"/>
        <v>12</v>
      </c>
      <c r="I56" s="309">
        <f t="shared" si="58"/>
        <v>1</v>
      </c>
      <c r="J56" s="309">
        <f t="shared" si="58"/>
        <v>4</v>
      </c>
      <c r="K56" s="309">
        <f t="shared" si="58"/>
        <v>15</v>
      </c>
      <c r="L56" s="309">
        <f t="shared" si="58"/>
        <v>6</v>
      </c>
      <c r="M56" s="309">
        <f t="shared" si="58"/>
        <v>10</v>
      </c>
      <c r="N56" s="309">
        <f t="shared" si="58"/>
        <v>8</v>
      </c>
      <c r="O56" s="309">
        <f t="shared" si="58"/>
        <v>8</v>
      </c>
      <c r="P56" s="309">
        <f t="shared" si="58"/>
        <v>21</v>
      </c>
      <c r="Q56" s="309">
        <f t="shared" si="58"/>
        <v>14</v>
      </c>
      <c r="R56" s="309">
        <f t="shared" si="58"/>
        <v>23</v>
      </c>
      <c r="S56" s="309">
        <f t="shared" si="58"/>
        <v>20</v>
      </c>
      <c r="T56" s="309">
        <f t="shared" si="58"/>
        <v>20</v>
      </c>
      <c r="U56" s="309">
        <f t="shared" si="58"/>
        <v>10</v>
      </c>
      <c r="V56" s="309">
        <f t="shared" si="58"/>
        <v>18</v>
      </c>
      <c r="W56" s="309">
        <f t="shared" si="58"/>
        <v>24</v>
      </c>
      <c r="X56" s="309">
        <f t="shared" si="58"/>
        <v>19</v>
      </c>
      <c r="Y56" s="309">
        <f t="shared" si="58"/>
        <v>6</v>
      </c>
      <c r="Z56" s="309">
        <f t="shared" si="58"/>
        <v>22</v>
      </c>
      <c r="AA56" s="309">
        <f t="shared" si="58"/>
        <v>23</v>
      </c>
      <c r="AB56" s="309">
        <f t="shared" si="58"/>
        <v>8</v>
      </c>
      <c r="AC56" s="309">
        <f t="shared" si="58"/>
        <v>20</v>
      </c>
      <c r="AD56" s="309">
        <f t="shared" si="58"/>
        <v>5</v>
      </c>
      <c r="AE56" s="309">
        <f t="shared" si="58"/>
        <v>4</v>
      </c>
      <c r="AF56" s="309">
        <f t="shared" si="58"/>
        <v>9</v>
      </c>
      <c r="AG56" s="309">
        <f t="shared" si="58"/>
        <v>6</v>
      </c>
      <c r="AH56" s="309">
        <f t="shared" si="58"/>
        <v>1</v>
      </c>
      <c r="AI56" s="309">
        <f t="shared" si="58"/>
        <v>10</v>
      </c>
      <c r="AJ56" s="309">
        <f t="shared" si="58"/>
        <v>7</v>
      </c>
      <c r="AK56" s="309">
        <f t="shared" si="58"/>
        <v>5</v>
      </c>
      <c r="AL56" s="309">
        <f t="shared" si="58"/>
        <v>1</v>
      </c>
      <c r="AM56" s="309">
        <f t="shared" si="58"/>
        <v>12</v>
      </c>
      <c r="AN56" s="309">
        <f t="shared" si="58"/>
        <v>11</v>
      </c>
      <c r="AO56" s="309">
        <f t="shared" si="58"/>
        <v>5</v>
      </c>
      <c r="AP56" s="309">
        <f t="shared" si="58"/>
        <v>11</v>
      </c>
      <c r="AQ56" s="309">
        <f t="shared" si="58"/>
        <v>21</v>
      </c>
      <c r="AR56" s="309">
        <f t="shared" si="58"/>
        <v>4</v>
      </c>
      <c r="AS56" s="309">
        <f t="shared" si="58"/>
        <v>3</v>
      </c>
      <c r="AT56" s="309">
        <f t="shared" si="58"/>
        <v>8</v>
      </c>
      <c r="AU56" s="309">
        <f t="shared" si="58"/>
        <v>24</v>
      </c>
      <c r="AV56" s="309">
        <f t="shared" si="58"/>
        <v>2</v>
      </c>
      <c r="AW56" s="309">
        <f t="shared" si="58"/>
        <v>3</v>
      </c>
      <c r="AX56" s="309">
        <f t="shared" si="58"/>
        <v>14</v>
      </c>
      <c r="AY56" s="309">
        <f t="shared" si="58"/>
        <v>20</v>
      </c>
      <c r="AZ56" s="309">
        <f t="shared" si="58"/>
        <v>14</v>
      </c>
      <c r="BA56" s="309">
        <f t="shared" si="58"/>
        <v>12</v>
      </c>
      <c r="BB56" s="309">
        <f t="shared" si="58"/>
        <v>82</v>
      </c>
      <c r="BC56" s="309">
        <f t="shared" si="58"/>
        <v>10</v>
      </c>
      <c r="BD56" s="309">
        <f t="shared" si="58"/>
        <v>6</v>
      </c>
      <c r="BE56" s="309">
        <f t="shared" si="58"/>
        <v>5</v>
      </c>
      <c r="BF56" s="309">
        <f t="shared" si="58"/>
        <v>2</v>
      </c>
      <c r="BG56" s="309">
        <f t="shared" si="58"/>
        <v>26</v>
      </c>
      <c r="BH56" s="309">
        <f t="shared" si="58"/>
        <v>1</v>
      </c>
      <c r="BI56" s="309">
        <f t="shared" si="58"/>
        <v>6</v>
      </c>
      <c r="BJ56" s="309">
        <f t="shared" si="58"/>
        <v>13</v>
      </c>
      <c r="BK56" s="309">
        <f t="shared" si="58"/>
        <v>12</v>
      </c>
      <c r="BL56" s="309">
        <f t="shared" si="58"/>
        <v>23</v>
      </c>
      <c r="BM56" s="309">
        <f t="shared" si="58"/>
        <v>1</v>
      </c>
      <c r="BN56" s="309">
        <f t="shared" ref="BN56:BQ56" si="59">SUM(BN29,BN31,BN33)</f>
        <v>13</v>
      </c>
      <c r="BO56" s="309">
        <f t="shared" si="59"/>
        <v>7</v>
      </c>
      <c r="BP56" s="309">
        <f t="shared" si="59"/>
        <v>8</v>
      </c>
      <c r="BQ56" s="309">
        <f t="shared" si="59"/>
        <v>10</v>
      </c>
      <c r="BR56" s="309">
        <f t="shared" ref="BR56:BU57" si="60">SUM(BR29,BR31,BR33)</f>
        <v>6</v>
      </c>
      <c r="BS56" s="309">
        <f t="shared" si="60"/>
        <v>6</v>
      </c>
      <c r="BT56" s="309">
        <f t="shared" si="60"/>
        <v>17</v>
      </c>
      <c r="BU56" s="309">
        <f t="shared" si="60"/>
        <v>12</v>
      </c>
      <c r="BV56" s="309">
        <f t="shared" ref="BV56:CC56" si="61">SUM(BV29,BV31,BV33)</f>
        <v>14</v>
      </c>
      <c r="BW56" s="309">
        <f t="shared" si="61"/>
        <v>10</v>
      </c>
      <c r="BX56" s="309">
        <f t="shared" si="61"/>
        <v>12</v>
      </c>
      <c r="BY56" s="309">
        <f t="shared" si="61"/>
        <v>19</v>
      </c>
      <c r="BZ56" s="309">
        <f t="shared" si="61"/>
        <v>1</v>
      </c>
      <c r="CA56" s="309">
        <f t="shared" si="61"/>
        <v>5</v>
      </c>
      <c r="CB56" s="309">
        <f t="shared" si="61"/>
        <v>3</v>
      </c>
      <c r="CC56" s="309">
        <f t="shared" si="61"/>
        <v>3</v>
      </c>
      <c r="CD56" s="309">
        <f t="shared" ref="CD56:CG56" ca="1" si="62">SUM(CD29,CD31,CD33)</f>
        <v>3</v>
      </c>
      <c r="CE56" s="309">
        <f t="shared" ca="1" si="62"/>
        <v>1</v>
      </c>
      <c r="CF56" s="309">
        <f t="shared" ca="1" si="62"/>
        <v>1</v>
      </c>
      <c r="CG56" s="309">
        <f t="shared" ca="1" si="62"/>
        <v>15</v>
      </c>
    </row>
    <row r="57" spans="1:85" s="313" customFormat="1" outlineLevel="1">
      <c r="A57" s="312" t="s">
        <v>100</v>
      </c>
      <c r="B57" s="313">
        <f t="shared" ref="B57:BM57" si="63">SUM(B30,B32,B34)</f>
        <v>-59</v>
      </c>
      <c r="C57" s="313">
        <f t="shared" si="63"/>
        <v>-21</v>
      </c>
      <c r="D57" s="313">
        <f t="shared" si="63"/>
        <v>-13</v>
      </c>
      <c r="E57" s="313">
        <f t="shared" si="63"/>
        <v>-57</v>
      </c>
      <c r="F57" s="313">
        <f t="shared" si="63"/>
        <v>-34</v>
      </c>
      <c r="G57" s="313">
        <f t="shared" si="63"/>
        <v>-67</v>
      </c>
      <c r="H57" s="313">
        <f t="shared" si="63"/>
        <v>-91</v>
      </c>
      <c r="I57" s="313">
        <f t="shared" si="63"/>
        <v>-87</v>
      </c>
      <c r="J57" s="313">
        <f t="shared" si="63"/>
        <v>-88</v>
      </c>
      <c r="K57" s="313">
        <f t="shared" si="63"/>
        <v>-55</v>
      </c>
      <c r="L57" s="313">
        <f t="shared" si="63"/>
        <v>-38</v>
      </c>
      <c r="M57" s="313">
        <f t="shared" si="63"/>
        <v>-37</v>
      </c>
      <c r="N57" s="313">
        <f t="shared" si="63"/>
        <v>-19</v>
      </c>
      <c r="O57" s="313">
        <f t="shared" si="63"/>
        <v>-19</v>
      </c>
      <c r="P57" s="313">
        <f t="shared" si="63"/>
        <v>-10</v>
      </c>
      <c r="Q57" s="313">
        <f t="shared" si="63"/>
        <v>-11</v>
      </c>
      <c r="R57" s="313">
        <f t="shared" si="63"/>
        <v>-9</v>
      </c>
      <c r="S57" s="313">
        <f t="shared" si="63"/>
        <v>-10</v>
      </c>
      <c r="T57" s="313">
        <f t="shared" si="63"/>
        <v>-7</v>
      </c>
      <c r="U57" s="313">
        <f t="shared" si="63"/>
        <v>-22</v>
      </c>
      <c r="V57" s="313">
        <f t="shared" si="63"/>
        <v>-7</v>
      </c>
      <c r="W57" s="313">
        <f t="shared" si="63"/>
        <v>-10</v>
      </c>
      <c r="X57" s="313">
        <f t="shared" si="63"/>
        <v>-18</v>
      </c>
      <c r="Y57" s="313">
        <f t="shared" si="63"/>
        <v>-8</v>
      </c>
      <c r="Z57" s="313">
        <f t="shared" si="63"/>
        <v>-17</v>
      </c>
      <c r="AA57" s="313">
        <f t="shared" si="63"/>
        <v>-18</v>
      </c>
      <c r="AB57" s="313">
        <f t="shared" si="63"/>
        <v>-2</v>
      </c>
      <c r="AC57" s="313">
        <f t="shared" si="63"/>
        <v>-11</v>
      </c>
      <c r="AD57" s="313">
        <f t="shared" si="63"/>
        <v>-13</v>
      </c>
      <c r="AE57" s="313">
        <f t="shared" si="63"/>
        <v>-5</v>
      </c>
      <c r="AF57" s="313">
        <f t="shared" si="63"/>
        <v>-5</v>
      </c>
      <c r="AG57" s="313">
        <f t="shared" si="63"/>
        <v>-3</v>
      </c>
      <c r="AH57" s="313">
        <f t="shared" si="63"/>
        <v>-9</v>
      </c>
      <c r="AI57" s="313">
        <f t="shared" si="63"/>
        <v>-14</v>
      </c>
      <c r="AJ57" s="313">
        <f t="shared" si="63"/>
        <v>-8</v>
      </c>
      <c r="AK57" s="313">
        <f t="shared" si="63"/>
        <v>-3</v>
      </c>
      <c r="AL57" s="313">
        <f t="shared" si="63"/>
        <v>-17</v>
      </c>
      <c r="AM57" s="313">
        <f t="shared" si="63"/>
        <v>-14</v>
      </c>
      <c r="AN57" s="313">
        <f t="shared" si="63"/>
        <v>-8</v>
      </c>
      <c r="AO57" s="313">
        <f t="shared" si="63"/>
        <v>-12</v>
      </c>
      <c r="AP57" s="313">
        <f t="shared" si="63"/>
        <v>0</v>
      </c>
      <c r="AQ57" s="313">
        <f t="shared" si="63"/>
        <v>-8</v>
      </c>
      <c r="AR57" s="313">
        <f t="shared" si="63"/>
        <v>-4</v>
      </c>
      <c r="AS57" s="313">
        <f t="shared" si="63"/>
        <v>-9</v>
      </c>
      <c r="AT57" s="313">
        <f t="shared" si="63"/>
        <v>-8</v>
      </c>
      <c r="AU57" s="313">
        <f t="shared" si="63"/>
        <v>-11</v>
      </c>
      <c r="AV57" s="313">
        <f t="shared" si="63"/>
        <v>-7</v>
      </c>
      <c r="AW57" s="313">
        <f t="shared" si="63"/>
        <v>-13</v>
      </c>
      <c r="AX57" s="313">
        <f t="shared" si="63"/>
        <v>-5</v>
      </c>
      <c r="AY57" s="313">
        <f t="shared" si="63"/>
        <v>-1</v>
      </c>
      <c r="AZ57" s="313">
        <f t="shared" si="63"/>
        <v>-10</v>
      </c>
      <c r="BA57" s="313">
        <f t="shared" si="63"/>
        <v>-4</v>
      </c>
      <c r="BB57" s="313">
        <f t="shared" si="63"/>
        <v>0</v>
      </c>
      <c r="BC57" s="313">
        <f t="shared" si="63"/>
        <v>-3</v>
      </c>
      <c r="BD57" s="313">
        <f t="shared" si="63"/>
        <v>0</v>
      </c>
      <c r="BE57" s="313">
        <f t="shared" si="63"/>
        <v>0</v>
      </c>
      <c r="BF57" s="313">
        <f t="shared" si="63"/>
        <v>0</v>
      </c>
      <c r="BG57" s="313">
        <f t="shared" si="63"/>
        <v>-7</v>
      </c>
      <c r="BH57" s="313">
        <f t="shared" si="63"/>
        <v>-6</v>
      </c>
      <c r="BI57" s="313">
        <f t="shared" si="63"/>
        <v>-2</v>
      </c>
      <c r="BJ57" s="313">
        <f t="shared" si="63"/>
        <v>-5</v>
      </c>
      <c r="BK57" s="313">
        <f t="shared" si="63"/>
        <v>-3</v>
      </c>
      <c r="BL57" s="313">
        <f t="shared" si="63"/>
        <v>-8</v>
      </c>
      <c r="BM57" s="313">
        <f t="shared" si="63"/>
        <v>-2</v>
      </c>
      <c r="BN57" s="313">
        <f t="shared" ref="BN57:BQ57" si="64">SUM(BN30,BN32,BN34)</f>
        <v>-4</v>
      </c>
      <c r="BO57" s="313">
        <f t="shared" si="64"/>
        <v>-1</v>
      </c>
      <c r="BP57" s="313">
        <f t="shared" si="64"/>
        <v>-9</v>
      </c>
      <c r="BQ57" s="313">
        <f t="shared" si="64"/>
        <v>0</v>
      </c>
      <c r="BR57" s="313">
        <f t="shared" si="60"/>
        <v>-11</v>
      </c>
      <c r="BS57" s="313">
        <f t="shared" si="60"/>
        <v>-7</v>
      </c>
      <c r="BT57" s="313">
        <f t="shared" si="60"/>
        <v>-23</v>
      </c>
      <c r="BU57" s="313">
        <f t="shared" si="60"/>
        <v>-11</v>
      </c>
      <c r="BV57" s="313">
        <f t="shared" ref="BV57:CC57" si="65">SUM(BV30,BV32,BV34)</f>
        <v>-21</v>
      </c>
      <c r="BW57" s="313">
        <f t="shared" si="65"/>
        <v>-2</v>
      </c>
      <c r="BX57" s="313">
        <f t="shared" si="65"/>
        <v>-5</v>
      </c>
      <c r="BY57" s="313">
        <f t="shared" si="65"/>
        <v>-7</v>
      </c>
      <c r="BZ57" s="313">
        <f t="shared" si="65"/>
        <v>-4</v>
      </c>
      <c r="CA57" s="313">
        <f t="shared" si="65"/>
        <v>-6</v>
      </c>
      <c r="CB57" s="313">
        <f t="shared" si="65"/>
        <v>-4</v>
      </c>
      <c r="CC57" s="313">
        <f t="shared" si="65"/>
        <v>-33</v>
      </c>
      <c r="CD57" s="313">
        <f t="shared" ref="CD57:CG57" ca="1" si="66">SUM(CD30,CD32,CD34)</f>
        <v>-12</v>
      </c>
      <c r="CE57" s="313">
        <f t="shared" ca="1" si="66"/>
        <v>-2</v>
      </c>
      <c r="CF57" s="313">
        <f t="shared" ca="1" si="66"/>
        <v>-5</v>
      </c>
      <c r="CG57" s="313">
        <f t="shared" ca="1" si="66"/>
        <v>-13</v>
      </c>
    </row>
    <row r="58" spans="1:85" s="139" customFormat="1" outlineLevel="1">
      <c r="A58" s="137" t="s">
        <v>101</v>
      </c>
      <c r="B58" s="138">
        <f>ABS( B56 ) + ABS( B57 )</f>
        <v>82</v>
      </c>
      <c r="C58" s="138">
        <f>ABS( C56 ) + ABS( C57 )</f>
        <v>35</v>
      </c>
      <c r="D58" s="138">
        <f>ABS( D56 ) + ABS( D57 )</f>
        <v>19</v>
      </c>
      <c r="E58" s="138">
        <f t="shared" ref="E58:AS58" si="67">ABS( E56 ) + ABS( E57 )</f>
        <v>71</v>
      </c>
      <c r="F58" s="138">
        <f t="shared" si="67"/>
        <v>40</v>
      </c>
      <c r="G58" s="138">
        <f t="shared" si="67"/>
        <v>69</v>
      </c>
      <c r="H58" s="138">
        <f t="shared" si="67"/>
        <v>103</v>
      </c>
      <c r="I58" s="138">
        <f t="shared" si="67"/>
        <v>88</v>
      </c>
      <c r="J58" s="138">
        <f t="shared" si="67"/>
        <v>92</v>
      </c>
      <c r="K58" s="138">
        <f t="shared" si="67"/>
        <v>70</v>
      </c>
      <c r="L58" s="138">
        <f t="shared" si="67"/>
        <v>44</v>
      </c>
      <c r="M58" s="138">
        <f t="shared" si="67"/>
        <v>47</v>
      </c>
      <c r="N58" s="138">
        <f t="shared" si="67"/>
        <v>27</v>
      </c>
      <c r="O58" s="138">
        <f t="shared" si="67"/>
        <v>27</v>
      </c>
      <c r="P58" s="138">
        <f t="shared" si="67"/>
        <v>31</v>
      </c>
      <c r="Q58" s="138">
        <f t="shared" si="67"/>
        <v>25</v>
      </c>
      <c r="R58" s="138">
        <f t="shared" si="67"/>
        <v>32</v>
      </c>
      <c r="S58" s="138">
        <f t="shared" si="67"/>
        <v>30</v>
      </c>
      <c r="T58" s="138">
        <f t="shared" si="67"/>
        <v>27</v>
      </c>
      <c r="U58" s="138">
        <f t="shared" si="67"/>
        <v>32</v>
      </c>
      <c r="V58" s="138">
        <f t="shared" si="67"/>
        <v>25</v>
      </c>
      <c r="W58" s="138">
        <f t="shared" si="67"/>
        <v>34</v>
      </c>
      <c r="X58" s="138">
        <f t="shared" si="67"/>
        <v>37</v>
      </c>
      <c r="Y58" s="138">
        <f t="shared" si="67"/>
        <v>14</v>
      </c>
      <c r="Z58" s="138">
        <f t="shared" si="67"/>
        <v>39</v>
      </c>
      <c r="AA58" s="138">
        <f t="shared" si="67"/>
        <v>41</v>
      </c>
      <c r="AB58" s="138">
        <f t="shared" si="67"/>
        <v>10</v>
      </c>
      <c r="AC58" s="138">
        <f t="shared" si="67"/>
        <v>31</v>
      </c>
      <c r="AD58" s="138">
        <f t="shared" si="67"/>
        <v>18</v>
      </c>
      <c r="AE58" s="138">
        <f t="shared" si="67"/>
        <v>9</v>
      </c>
      <c r="AF58" s="138">
        <f t="shared" si="67"/>
        <v>14</v>
      </c>
      <c r="AG58" s="138">
        <f t="shared" si="67"/>
        <v>9</v>
      </c>
      <c r="AH58" s="138">
        <f t="shared" si="67"/>
        <v>10</v>
      </c>
      <c r="AI58" s="138">
        <f t="shared" si="67"/>
        <v>24</v>
      </c>
      <c r="AJ58" s="138">
        <f t="shared" si="67"/>
        <v>15</v>
      </c>
      <c r="AK58" s="138">
        <f t="shared" si="67"/>
        <v>8</v>
      </c>
      <c r="AL58" s="138">
        <f t="shared" si="67"/>
        <v>18</v>
      </c>
      <c r="AM58" s="138">
        <f t="shared" si="67"/>
        <v>26</v>
      </c>
      <c r="AN58" s="138">
        <f t="shared" si="67"/>
        <v>19</v>
      </c>
      <c r="AO58" s="138">
        <f t="shared" si="67"/>
        <v>17</v>
      </c>
      <c r="AP58" s="138">
        <f t="shared" si="67"/>
        <v>11</v>
      </c>
      <c r="AQ58" s="138">
        <f t="shared" si="67"/>
        <v>29</v>
      </c>
      <c r="AR58" s="138">
        <f t="shared" si="67"/>
        <v>8</v>
      </c>
      <c r="AS58" s="138">
        <f t="shared" si="67"/>
        <v>12</v>
      </c>
      <c r="AT58" s="138">
        <f t="shared" ref="AT58:BU58" si="68">ABS( AT56 ) + ABS( AT57 )</f>
        <v>16</v>
      </c>
      <c r="AU58" s="138">
        <f t="shared" si="68"/>
        <v>35</v>
      </c>
      <c r="AV58" s="138">
        <f t="shared" si="68"/>
        <v>9</v>
      </c>
      <c r="AW58" s="138">
        <f t="shared" si="68"/>
        <v>16</v>
      </c>
      <c r="AX58" s="138">
        <f t="shared" ref="AX58:BQ58" si="69">ABS( AX56 ) + ABS( AX57 )</f>
        <v>19</v>
      </c>
      <c r="AY58" s="138">
        <f t="shared" si="69"/>
        <v>21</v>
      </c>
      <c r="AZ58" s="138">
        <f t="shared" si="69"/>
        <v>24</v>
      </c>
      <c r="BA58" s="138">
        <f t="shared" si="69"/>
        <v>16</v>
      </c>
      <c r="BB58" s="138">
        <f t="shared" si="69"/>
        <v>82</v>
      </c>
      <c r="BC58" s="138">
        <f t="shared" si="69"/>
        <v>13</v>
      </c>
      <c r="BD58" s="138">
        <f t="shared" si="69"/>
        <v>6</v>
      </c>
      <c r="BE58" s="138">
        <f t="shared" si="69"/>
        <v>5</v>
      </c>
      <c r="BF58" s="138">
        <f t="shared" si="69"/>
        <v>2</v>
      </c>
      <c r="BG58" s="138">
        <f t="shared" si="69"/>
        <v>33</v>
      </c>
      <c r="BH58" s="138">
        <f t="shared" si="69"/>
        <v>7</v>
      </c>
      <c r="BI58" s="138">
        <f t="shared" si="69"/>
        <v>8</v>
      </c>
      <c r="BJ58" s="138">
        <f t="shared" si="69"/>
        <v>18</v>
      </c>
      <c r="BK58" s="138">
        <f t="shared" si="69"/>
        <v>15</v>
      </c>
      <c r="BL58" s="138">
        <f t="shared" si="69"/>
        <v>31</v>
      </c>
      <c r="BM58" s="138">
        <f t="shared" si="69"/>
        <v>3</v>
      </c>
      <c r="BN58" s="138">
        <f t="shared" si="69"/>
        <v>17</v>
      </c>
      <c r="BO58" s="138">
        <f t="shared" si="69"/>
        <v>8</v>
      </c>
      <c r="BP58" s="138">
        <f t="shared" si="69"/>
        <v>17</v>
      </c>
      <c r="BQ58" s="138">
        <f t="shared" si="69"/>
        <v>10</v>
      </c>
      <c r="BR58" s="138">
        <f t="shared" si="68"/>
        <v>17</v>
      </c>
      <c r="BS58" s="138">
        <f t="shared" si="68"/>
        <v>13</v>
      </c>
      <c r="BT58" s="138">
        <f t="shared" si="68"/>
        <v>40</v>
      </c>
      <c r="BU58" s="138">
        <f t="shared" si="68"/>
        <v>23</v>
      </c>
      <c r="BV58" s="138">
        <f t="shared" ref="BV58:CC58" si="70">ABS( BV56 ) + ABS( BV57 )</f>
        <v>35</v>
      </c>
      <c r="BW58" s="138">
        <f t="shared" si="70"/>
        <v>12</v>
      </c>
      <c r="BX58" s="138">
        <f t="shared" si="70"/>
        <v>17</v>
      </c>
      <c r="BY58" s="138">
        <f t="shared" si="70"/>
        <v>26</v>
      </c>
      <c r="BZ58" s="138">
        <f t="shared" si="70"/>
        <v>5</v>
      </c>
      <c r="CA58" s="138">
        <f t="shared" si="70"/>
        <v>11</v>
      </c>
      <c r="CB58" s="138">
        <f t="shared" si="70"/>
        <v>7</v>
      </c>
      <c r="CC58" s="138">
        <f t="shared" si="70"/>
        <v>36</v>
      </c>
      <c r="CD58" s="138">
        <f t="shared" ref="CD58:CG58" ca="1" si="71">ABS( CD56 ) + ABS( CD57 )</f>
        <v>15</v>
      </c>
      <c r="CE58" s="138">
        <f t="shared" ca="1" si="71"/>
        <v>3</v>
      </c>
      <c r="CF58" s="138">
        <f t="shared" ca="1" si="71"/>
        <v>6</v>
      </c>
      <c r="CG58" s="138">
        <f t="shared" ca="1" si="71"/>
        <v>28</v>
      </c>
    </row>
    <row r="59" spans="1:85" s="122" customFormat="1" outlineLevel="1">
      <c r="B59" s="124"/>
      <c r="C59" s="124"/>
      <c r="D59" s="124"/>
      <c r="E59" s="124"/>
      <c r="F59" s="124"/>
      <c r="G59" s="124"/>
      <c r="H59" s="124"/>
      <c r="I59" s="124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</row>
    <row r="60" spans="1:85" s="122" customFormat="1" outlineLevel="1">
      <c r="B60" s="124"/>
      <c r="C60" s="124"/>
      <c r="D60" s="124"/>
      <c r="E60" s="124"/>
      <c r="F60" s="124"/>
      <c r="G60" s="124"/>
      <c r="H60" s="124"/>
      <c r="I60" s="124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</row>
    <row r="61" spans="1:85" s="309" customFormat="1" outlineLevel="1">
      <c r="A61" s="308" t="s">
        <v>102</v>
      </c>
      <c r="E61" s="309">
        <f t="shared" ref="E61:N62" si="72">IF( ISERR( FIND( "Q4", E$28 ) ), "", SUM( B56:E56 ) )</f>
        <v>57</v>
      </c>
      <c r="F61" s="309" t="str">
        <f t="shared" si="72"/>
        <v/>
      </c>
      <c r="G61" s="309" t="str">
        <f t="shared" si="72"/>
        <v/>
      </c>
      <c r="H61" s="309" t="str">
        <f t="shared" si="72"/>
        <v/>
      </c>
      <c r="I61" s="309">
        <f t="shared" si="72"/>
        <v>21</v>
      </c>
      <c r="J61" s="309" t="str">
        <f t="shared" si="72"/>
        <v/>
      </c>
      <c r="K61" s="309" t="str">
        <f t="shared" si="72"/>
        <v/>
      </c>
      <c r="L61" s="309" t="str">
        <f t="shared" si="72"/>
        <v/>
      </c>
      <c r="M61" s="309">
        <f t="shared" si="72"/>
        <v>35</v>
      </c>
      <c r="N61" s="309" t="str">
        <f t="shared" si="72"/>
        <v/>
      </c>
      <c r="O61" s="309" t="str">
        <f t="shared" ref="O61:X62" si="73">IF( ISERR( FIND( "Q4", O$28 ) ), "", SUM( L56:O56 ) )</f>
        <v/>
      </c>
      <c r="P61" s="309" t="str">
        <f t="shared" si="73"/>
        <v/>
      </c>
      <c r="Q61" s="309">
        <f t="shared" si="73"/>
        <v>51</v>
      </c>
      <c r="R61" s="309" t="str">
        <f t="shared" si="73"/>
        <v/>
      </c>
      <c r="S61" s="309" t="str">
        <f t="shared" si="73"/>
        <v/>
      </c>
      <c r="T61" s="309" t="str">
        <f t="shared" si="73"/>
        <v/>
      </c>
      <c r="U61" s="309">
        <f t="shared" si="73"/>
        <v>73</v>
      </c>
      <c r="V61" s="309" t="str">
        <f t="shared" si="73"/>
        <v/>
      </c>
      <c r="W61" s="309" t="str">
        <f t="shared" si="73"/>
        <v/>
      </c>
      <c r="X61" s="309" t="str">
        <f t="shared" si="73"/>
        <v/>
      </c>
      <c r="Y61" s="309">
        <f t="shared" ref="Y61:AH62" si="74">IF( ISERR( FIND( "Q4", Y$28 ) ), "", SUM( V56:Y56 ) )</f>
        <v>67</v>
      </c>
      <c r="Z61" s="309" t="str">
        <f t="shared" si="74"/>
        <v/>
      </c>
      <c r="AA61" s="309" t="str">
        <f t="shared" si="74"/>
        <v/>
      </c>
      <c r="AB61" s="309" t="str">
        <f t="shared" si="74"/>
        <v/>
      </c>
      <c r="AC61" s="309">
        <f t="shared" si="74"/>
        <v>73</v>
      </c>
      <c r="AD61" s="309" t="str">
        <f t="shared" si="74"/>
        <v/>
      </c>
      <c r="AE61" s="309" t="str">
        <f t="shared" si="74"/>
        <v/>
      </c>
      <c r="AF61" s="309" t="str">
        <f t="shared" si="74"/>
        <v/>
      </c>
      <c r="AG61" s="309">
        <f t="shared" si="74"/>
        <v>24</v>
      </c>
      <c r="AH61" s="309" t="str">
        <f t="shared" si="74"/>
        <v/>
      </c>
      <c r="AI61" s="309" t="str">
        <f t="shared" ref="AI61:AR62" si="75">IF( ISERR( FIND( "Q4", AI$28 ) ), "", SUM( AF56:AI56 ) )</f>
        <v/>
      </c>
      <c r="AJ61" s="309" t="str">
        <f t="shared" si="75"/>
        <v/>
      </c>
      <c r="AK61" s="309">
        <f t="shared" si="75"/>
        <v>23</v>
      </c>
      <c r="AL61" s="309" t="str">
        <f t="shared" si="75"/>
        <v/>
      </c>
      <c r="AM61" s="309" t="str">
        <f t="shared" si="75"/>
        <v/>
      </c>
      <c r="AN61" s="309" t="str">
        <f t="shared" si="75"/>
        <v/>
      </c>
      <c r="AO61" s="309">
        <f t="shared" si="75"/>
        <v>29</v>
      </c>
      <c r="AP61" s="309" t="str">
        <f t="shared" si="75"/>
        <v/>
      </c>
      <c r="AQ61" s="309" t="str">
        <f t="shared" si="75"/>
        <v/>
      </c>
      <c r="AR61" s="309" t="str">
        <f t="shared" si="75"/>
        <v/>
      </c>
      <c r="AS61" s="309">
        <f t="shared" ref="AS61:AW62" si="76">IF( ISERR( FIND( "Q4", AS$28 ) ), "", SUM( AP56:AS56 ) )</f>
        <v>39</v>
      </c>
      <c r="AT61" s="309" t="str">
        <f t="shared" si="76"/>
        <v/>
      </c>
      <c r="AU61" s="309" t="str">
        <f t="shared" si="76"/>
        <v/>
      </c>
      <c r="AV61" s="309" t="str">
        <f t="shared" si="76"/>
        <v/>
      </c>
      <c r="AW61" s="309">
        <f t="shared" si="76"/>
        <v>37</v>
      </c>
      <c r="AX61" s="309" t="str">
        <f t="shared" ref="AX61:AZ62" si="77">IF( ISERR( FIND( "Q4", AX$28 ) ), "", SUM( AQ56:AX56 ) )</f>
        <v/>
      </c>
      <c r="AY61" s="309" t="str">
        <f t="shared" si="77"/>
        <v/>
      </c>
      <c r="AZ61" s="309" t="str">
        <f t="shared" si="77"/>
        <v/>
      </c>
      <c r="BA61" s="309">
        <f t="shared" ref="BA61:BA62" si="78">IF( ISERR( FIND( "Q4", BA$28 ) ), "", SUM( AX56:BA56 ) )</f>
        <v>60</v>
      </c>
      <c r="BB61" s="309" t="str">
        <f t="shared" ref="BB61:BD62" si="79">IF( ISERR( FIND( "Q4", BB$28 ) ), "", SUM( AQ56:BB56 ) )</f>
        <v/>
      </c>
      <c r="BC61" s="309" t="str">
        <f t="shared" si="79"/>
        <v/>
      </c>
      <c r="BD61" s="309" t="str">
        <f t="shared" si="79"/>
        <v/>
      </c>
      <c r="BE61" s="309">
        <f t="shared" ref="BE61:BE62" si="80">IF( ISERR( FIND( "Q4", BE$28 ) ), "", SUM( BB56:BE56 ) )</f>
        <v>103</v>
      </c>
      <c r="BF61" s="309" t="str">
        <f t="shared" ref="BF61:BH62" si="81">IF( ISERR( FIND( "Q4", BF$28 ) ), "", SUM( AQ56:BF56 ) )</f>
        <v/>
      </c>
      <c r="BG61" s="309" t="str">
        <f t="shared" si="81"/>
        <v/>
      </c>
      <c r="BH61" s="309" t="str">
        <f t="shared" si="81"/>
        <v/>
      </c>
      <c r="BI61" s="309">
        <f t="shared" ref="BI61:BI62" si="82">IF( ISERR( FIND( "Q4", BI$28 ) ), "", SUM( BF56:BI56 ) )</f>
        <v>35</v>
      </c>
      <c r="BJ61" s="309" t="str">
        <f t="shared" ref="BJ61:BL62" si="83">IF( ISERR( FIND( "Q4", BJ$28 ) ), "", SUM( AQ56:BJ56 ) )</f>
        <v/>
      </c>
      <c r="BK61" s="309" t="str">
        <f t="shared" si="83"/>
        <v/>
      </c>
      <c r="BL61" s="309" t="str">
        <f t="shared" si="83"/>
        <v/>
      </c>
      <c r="BM61" s="309">
        <f>IF( ISERR( FIND( "Q4", BM$28 ) ), "", SUM( BJ56:BM56 ) )</f>
        <v>49</v>
      </c>
      <c r="BN61" s="309" t="str">
        <f t="shared" ref="BN61:BP62" si="84">IF( ISERR( FIND( "Q4", BN$28 ) ), "", SUM( AQ56:BN56 ) )</f>
        <v/>
      </c>
      <c r="BO61" s="309" t="str">
        <f t="shared" si="84"/>
        <v/>
      </c>
      <c r="BP61" s="309" t="str">
        <f t="shared" si="84"/>
        <v/>
      </c>
      <c r="BQ61" s="309">
        <f>IF( ISERR( FIND( "Q4", BQ$28 ) ), "", SUM( BN56:BQ56 ) )</f>
        <v>38</v>
      </c>
      <c r="BR61" s="309" t="str">
        <f t="shared" ref="BR61:BT62" si="85">IF( ISERR( FIND( "Q4", BR$28 ) ), "", SUM( AU56:BR56 ) )</f>
        <v/>
      </c>
      <c r="BS61" s="309" t="str">
        <f t="shared" si="85"/>
        <v/>
      </c>
      <c r="BT61" s="309" t="str">
        <f t="shared" si="85"/>
        <v/>
      </c>
      <c r="BU61" s="309">
        <f>IF( ISERR( FIND( "Q4", BU$28 ) ), "", SUM( BR56:BU56 ) )</f>
        <v>41</v>
      </c>
      <c r="BV61" s="309" t="str">
        <f t="shared" ref="BV61:BV62" si="86">IF( ISERR( FIND( "Q4", BV$28 ) ), "", SUM( AY56:BV56 ) )</f>
        <v/>
      </c>
      <c r="BW61" s="309" t="str">
        <f t="shared" ref="BW61:BW62" si="87">IF( ISERR( FIND( "Q4", BW$28 ) ), "", SUM( AZ56:BW56 ) )</f>
        <v/>
      </c>
      <c r="BX61" s="309" t="str">
        <f t="shared" ref="BX61:BX62" si="88">IF( ISERR( FIND( "Q4", BX$28 ) ), "", SUM( BA56:BX56 ) )</f>
        <v/>
      </c>
      <c r="BY61" s="309">
        <f>IF( ISERR( FIND( "Q4", BY$28 ) ), "", SUM( BV56:BY56 ) )</f>
        <v>55</v>
      </c>
      <c r="BZ61" s="309" t="str">
        <f t="shared" ref="BZ61:CC62" si="89">IF( ISERR( FIND( "Q4", BZ$28 ) ), "", SUM( BW56:BZ56 ) )</f>
        <v/>
      </c>
      <c r="CA61" s="309" t="str">
        <f t="shared" si="89"/>
        <v/>
      </c>
      <c r="CB61" s="309" t="str">
        <f t="shared" si="89"/>
        <v/>
      </c>
      <c r="CC61" s="309">
        <f t="shared" si="89"/>
        <v>12</v>
      </c>
      <c r="CD61" s="309" t="str">
        <f t="shared" ref="CD61:CD62" ca="1" si="90">IF( ISERR( FIND( "Q4", CD$28 ) ), "", SUM( CA56:CD56 ) )</f>
        <v/>
      </c>
      <c r="CE61" s="309" t="str">
        <f t="shared" ref="CE61:CE62" ca="1" si="91">IF( ISERR( FIND( "Q4", CE$28 ) ), "", SUM( CB56:CE56 ) )</f>
        <v/>
      </c>
      <c r="CF61" s="309" t="str">
        <f t="shared" ref="CF61:CF62" ca="1" si="92">IF( ISERR( FIND( "Q4", CF$28 ) ), "", SUM( CC56:CF56 ) )</f>
        <v/>
      </c>
      <c r="CG61" s="309">
        <f t="shared" ref="CG61:CG62" ca="1" si="93">IF( ISERR( FIND( "Q4", CG$28 ) ), "", SUM( CD56:CG56 ) )</f>
        <v>20</v>
      </c>
    </row>
    <row r="62" spans="1:85" s="313" customFormat="1" outlineLevel="1">
      <c r="A62" s="312" t="s">
        <v>103</v>
      </c>
      <c r="E62" s="313">
        <f t="shared" si="72"/>
        <v>-150</v>
      </c>
      <c r="F62" s="313" t="str">
        <f t="shared" si="72"/>
        <v/>
      </c>
      <c r="G62" s="313" t="str">
        <f t="shared" si="72"/>
        <v/>
      </c>
      <c r="H62" s="313" t="str">
        <f t="shared" si="72"/>
        <v/>
      </c>
      <c r="I62" s="313">
        <f t="shared" si="72"/>
        <v>-279</v>
      </c>
      <c r="J62" s="313" t="str">
        <f t="shared" si="72"/>
        <v/>
      </c>
      <c r="K62" s="313" t="str">
        <f t="shared" si="72"/>
        <v/>
      </c>
      <c r="L62" s="313" t="str">
        <f t="shared" si="72"/>
        <v/>
      </c>
      <c r="M62" s="313">
        <f t="shared" si="72"/>
        <v>-218</v>
      </c>
      <c r="N62" s="313" t="str">
        <f t="shared" si="72"/>
        <v/>
      </c>
      <c r="O62" s="313" t="str">
        <f t="shared" si="73"/>
        <v/>
      </c>
      <c r="P62" s="313" t="str">
        <f t="shared" si="73"/>
        <v/>
      </c>
      <c r="Q62" s="313">
        <f t="shared" si="73"/>
        <v>-59</v>
      </c>
      <c r="R62" s="313" t="str">
        <f t="shared" si="73"/>
        <v/>
      </c>
      <c r="S62" s="313" t="str">
        <f t="shared" si="73"/>
        <v/>
      </c>
      <c r="T62" s="313" t="str">
        <f t="shared" si="73"/>
        <v/>
      </c>
      <c r="U62" s="313">
        <f t="shared" si="73"/>
        <v>-48</v>
      </c>
      <c r="V62" s="313" t="str">
        <f t="shared" si="73"/>
        <v/>
      </c>
      <c r="W62" s="313" t="str">
        <f t="shared" si="73"/>
        <v/>
      </c>
      <c r="X62" s="313" t="str">
        <f t="shared" si="73"/>
        <v/>
      </c>
      <c r="Y62" s="313">
        <f t="shared" si="74"/>
        <v>-43</v>
      </c>
      <c r="Z62" s="313" t="str">
        <f t="shared" si="74"/>
        <v/>
      </c>
      <c r="AA62" s="313" t="str">
        <f t="shared" si="74"/>
        <v/>
      </c>
      <c r="AB62" s="313" t="str">
        <f t="shared" si="74"/>
        <v/>
      </c>
      <c r="AC62" s="313">
        <f t="shared" si="74"/>
        <v>-48</v>
      </c>
      <c r="AD62" s="313" t="str">
        <f t="shared" si="74"/>
        <v/>
      </c>
      <c r="AE62" s="313" t="str">
        <f t="shared" si="74"/>
        <v/>
      </c>
      <c r="AF62" s="313" t="str">
        <f t="shared" si="74"/>
        <v/>
      </c>
      <c r="AG62" s="313">
        <f t="shared" si="74"/>
        <v>-26</v>
      </c>
      <c r="AH62" s="313" t="str">
        <f t="shared" si="74"/>
        <v/>
      </c>
      <c r="AI62" s="313" t="str">
        <f t="shared" si="75"/>
        <v/>
      </c>
      <c r="AJ62" s="313" t="str">
        <f t="shared" si="75"/>
        <v/>
      </c>
      <c r="AK62" s="313">
        <f t="shared" si="75"/>
        <v>-34</v>
      </c>
      <c r="AL62" s="313" t="str">
        <f t="shared" si="75"/>
        <v/>
      </c>
      <c r="AM62" s="313" t="str">
        <f t="shared" si="75"/>
        <v/>
      </c>
      <c r="AN62" s="313" t="str">
        <f t="shared" si="75"/>
        <v/>
      </c>
      <c r="AO62" s="313">
        <f t="shared" si="75"/>
        <v>-51</v>
      </c>
      <c r="AP62" s="313" t="str">
        <f t="shared" si="75"/>
        <v/>
      </c>
      <c r="AQ62" s="313" t="str">
        <f t="shared" si="75"/>
        <v/>
      </c>
      <c r="AR62" s="313" t="str">
        <f t="shared" si="75"/>
        <v/>
      </c>
      <c r="AS62" s="313">
        <f t="shared" si="76"/>
        <v>-21</v>
      </c>
      <c r="AT62" s="313" t="str">
        <f t="shared" si="76"/>
        <v/>
      </c>
      <c r="AU62" s="313" t="str">
        <f t="shared" si="76"/>
        <v/>
      </c>
      <c r="AV62" s="313" t="str">
        <f t="shared" si="76"/>
        <v/>
      </c>
      <c r="AW62" s="313">
        <f t="shared" si="76"/>
        <v>-39</v>
      </c>
      <c r="AX62" s="313" t="str">
        <f t="shared" si="77"/>
        <v/>
      </c>
      <c r="AY62" s="313" t="str">
        <f t="shared" si="77"/>
        <v/>
      </c>
      <c r="AZ62" s="313" t="str">
        <f t="shared" si="77"/>
        <v/>
      </c>
      <c r="BA62" s="313">
        <f t="shared" si="78"/>
        <v>-20</v>
      </c>
      <c r="BB62" s="313" t="str">
        <f t="shared" si="79"/>
        <v/>
      </c>
      <c r="BC62" s="313" t="str">
        <f t="shared" si="79"/>
        <v/>
      </c>
      <c r="BD62" s="313" t="str">
        <f t="shared" si="79"/>
        <v/>
      </c>
      <c r="BE62" s="313">
        <f t="shared" si="80"/>
        <v>-3</v>
      </c>
      <c r="BF62" s="313" t="str">
        <f t="shared" si="81"/>
        <v/>
      </c>
      <c r="BG62" s="313" t="str">
        <f t="shared" si="81"/>
        <v/>
      </c>
      <c r="BH62" s="313" t="str">
        <f t="shared" si="81"/>
        <v/>
      </c>
      <c r="BI62" s="313">
        <f t="shared" si="82"/>
        <v>-15</v>
      </c>
      <c r="BJ62" s="313" t="str">
        <f t="shared" si="83"/>
        <v/>
      </c>
      <c r="BK62" s="313" t="str">
        <f t="shared" si="83"/>
        <v/>
      </c>
      <c r="BL62" s="313" t="str">
        <f t="shared" si="83"/>
        <v/>
      </c>
      <c r="BM62" s="313">
        <f>IF( ISERR( FIND( "Q4", BM$28 ) ), "", SUM( BJ57:BM57 ) )</f>
        <v>-18</v>
      </c>
      <c r="BN62" s="313" t="str">
        <f t="shared" si="84"/>
        <v/>
      </c>
      <c r="BO62" s="313" t="str">
        <f t="shared" si="84"/>
        <v/>
      </c>
      <c r="BP62" s="313" t="str">
        <f t="shared" si="84"/>
        <v/>
      </c>
      <c r="BQ62" s="313">
        <f>IF( ISERR( FIND( "Q4", BQ$28 ) ), "", SUM( BN57:BQ57 ) )</f>
        <v>-14</v>
      </c>
      <c r="BR62" s="313" t="str">
        <f t="shared" si="85"/>
        <v/>
      </c>
      <c r="BS62" s="313" t="str">
        <f t="shared" si="85"/>
        <v/>
      </c>
      <c r="BT62" s="313" t="str">
        <f t="shared" si="85"/>
        <v/>
      </c>
      <c r="BU62" s="313">
        <f t="shared" ref="BU62" si="94">IF( ISERR( FIND( "Q4", BU$28 ) ), "", SUM( BR57:BU57 ) )</f>
        <v>-52</v>
      </c>
      <c r="BV62" s="313" t="str">
        <f t="shared" si="86"/>
        <v/>
      </c>
      <c r="BW62" s="313" t="str">
        <f t="shared" si="87"/>
        <v/>
      </c>
      <c r="BX62" s="313" t="str">
        <f t="shared" si="88"/>
        <v/>
      </c>
      <c r="BY62" s="313">
        <f t="shared" ref="BY62" si="95">IF( ISERR( FIND( "Q4", BY$28 ) ), "", SUM( BV57:BY57 ) )</f>
        <v>-35</v>
      </c>
      <c r="BZ62" s="313" t="str">
        <f t="shared" si="89"/>
        <v/>
      </c>
      <c r="CA62" s="313" t="str">
        <f t="shared" si="89"/>
        <v/>
      </c>
      <c r="CB62" s="313" t="str">
        <f t="shared" si="89"/>
        <v/>
      </c>
      <c r="CC62" s="313">
        <f t="shared" si="89"/>
        <v>-47</v>
      </c>
      <c r="CD62" s="313" t="str">
        <f t="shared" ca="1" si="90"/>
        <v/>
      </c>
      <c r="CE62" s="313" t="str">
        <f t="shared" ca="1" si="91"/>
        <v/>
      </c>
      <c r="CF62" s="313" t="str">
        <f t="shared" ca="1" si="92"/>
        <v/>
      </c>
      <c r="CG62" s="313">
        <f t="shared" ca="1" si="93"/>
        <v>-32</v>
      </c>
    </row>
    <row r="63" spans="1:85" s="139" customFormat="1" outlineLevel="1">
      <c r="A63" s="137" t="s">
        <v>98</v>
      </c>
      <c r="B63" s="138"/>
      <c r="C63" s="138"/>
      <c r="D63" s="138"/>
      <c r="E63" s="138">
        <f t="shared" ref="E63:AS63" si="96">IF( LEN( E61 ) = 0, "", ABS( E61 ) + ABS( E62 ) )</f>
        <v>207</v>
      </c>
      <c r="F63" s="138" t="str">
        <f t="shared" si="96"/>
        <v/>
      </c>
      <c r="G63" s="138" t="str">
        <f t="shared" si="96"/>
        <v/>
      </c>
      <c r="H63" s="138" t="str">
        <f t="shared" si="96"/>
        <v/>
      </c>
      <c r="I63" s="138">
        <f t="shared" si="96"/>
        <v>300</v>
      </c>
      <c r="J63" s="138" t="str">
        <f t="shared" si="96"/>
        <v/>
      </c>
      <c r="K63" s="138" t="str">
        <f t="shared" si="96"/>
        <v/>
      </c>
      <c r="L63" s="138" t="str">
        <f t="shared" si="96"/>
        <v/>
      </c>
      <c r="M63" s="138">
        <f t="shared" si="96"/>
        <v>253</v>
      </c>
      <c r="N63" s="138" t="str">
        <f t="shared" si="96"/>
        <v/>
      </c>
      <c r="O63" s="138" t="str">
        <f t="shared" si="96"/>
        <v/>
      </c>
      <c r="P63" s="138" t="str">
        <f t="shared" si="96"/>
        <v/>
      </c>
      <c r="Q63" s="138">
        <f t="shared" si="96"/>
        <v>110</v>
      </c>
      <c r="R63" s="138" t="str">
        <f t="shared" si="96"/>
        <v/>
      </c>
      <c r="S63" s="138" t="str">
        <f t="shared" si="96"/>
        <v/>
      </c>
      <c r="T63" s="138" t="str">
        <f t="shared" si="96"/>
        <v/>
      </c>
      <c r="U63" s="138">
        <f t="shared" si="96"/>
        <v>121</v>
      </c>
      <c r="V63" s="138" t="str">
        <f t="shared" si="96"/>
        <v/>
      </c>
      <c r="W63" s="138" t="str">
        <f t="shared" si="96"/>
        <v/>
      </c>
      <c r="X63" s="138" t="str">
        <f t="shared" si="96"/>
        <v/>
      </c>
      <c r="Y63" s="138">
        <f t="shared" si="96"/>
        <v>110</v>
      </c>
      <c r="Z63" s="138" t="str">
        <f t="shared" si="96"/>
        <v/>
      </c>
      <c r="AA63" s="138" t="str">
        <f t="shared" si="96"/>
        <v/>
      </c>
      <c r="AB63" s="138" t="str">
        <f t="shared" si="96"/>
        <v/>
      </c>
      <c r="AC63" s="138">
        <f t="shared" si="96"/>
        <v>121</v>
      </c>
      <c r="AD63" s="138" t="str">
        <f t="shared" si="96"/>
        <v/>
      </c>
      <c r="AE63" s="138" t="str">
        <f t="shared" si="96"/>
        <v/>
      </c>
      <c r="AF63" s="138" t="str">
        <f t="shared" si="96"/>
        <v/>
      </c>
      <c r="AG63" s="138">
        <f t="shared" si="96"/>
        <v>50</v>
      </c>
      <c r="AH63" s="138" t="str">
        <f t="shared" si="96"/>
        <v/>
      </c>
      <c r="AI63" s="138" t="str">
        <f t="shared" si="96"/>
        <v/>
      </c>
      <c r="AJ63" s="138" t="str">
        <f t="shared" si="96"/>
        <v/>
      </c>
      <c r="AK63" s="138">
        <f t="shared" si="96"/>
        <v>57</v>
      </c>
      <c r="AL63" s="138" t="str">
        <f t="shared" si="96"/>
        <v/>
      </c>
      <c r="AM63" s="138" t="str">
        <f t="shared" si="96"/>
        <v/>
      </c>
      <c r="AN63" s="138" t="str">
        <f t="shared" si="96"/>
        <v/>
      </c>
      <c r="AO63" s="138">
        <f t="shared" si="96"/>
        <v>80</v>
      </c>
      <c r="AP63" s="138" t="str">
        <f t="shared" si="96"/>
        <v/>
      </c>
      <c r="AQ63" s="138" t="str">
        <f t="shared" si="96"/>
        <v/>
      </c>
      <c r="AR63" s="138" t="str">
        <f t="shared" si="96"/>
        <v/>
      </c>
      <c r="AS63" s="138">
        <f t="shared" si="96"/>
        <v>60</v>
      </c>
      <c r="AT63" s="138" t="str">
        <f t="shared" ref="AT63:BU63" si="97">IF( LEN( AT61 ) = 0, "", ABS( AT61 ) + ABS( AT62 ) )</f>
        <v/>
      </c>
      <c r="AU63" s="138" t="str">
        <f t="shared" si="97"/>
        <v/>
      </c>
      <c r="AV63" s="138" t="str">
        <f t="shared" si="97"/>
        <v/>
      </c>
      <c r="AW63" s="138">
        <f t="shared" si="97"/>
        <v>76</v>
      </c>
      <c r="AX63" s="138" t="str">
        <f t="shared" ref="AX63:BQ63" si="98">IF( LEN( AX61 ) = 0, "", ABS( AX61 ) + ABS( AX62 ) )</f>
        <v/>
      </c>
      <c r="AY63" s="138" t="str">
        <f t="shared" si="98"/>
        <v/>
      </c>
      <c r="AZ63" s="138" t="str">
        <f t="shared" si="98"/>
        <v/>
      </c>
      <c r="BA63" s="138">
        <f t="shared" si="98"/>
        <v>80</v>
      </c>
      <c r="BB63" s="138" t="str">
        <f t="shared" si="98"/>
        <v/>
      </c>
      <c r="BC63" s="138" t="str">
        <f t="shared" si="98"/>
        <v/>
      </c>
      <c r="BD63" s="138" t="str">
        <f t="shared" si="98"/>
        <v/>
      </c>
      <c r="BE63" s="138">
        <f t="shared" si="98"/>
        <v>106</v>
      </c>
      <c r="BF63" s="138" t="str">
        <f t="shared" si="98"/>
        <v/>
      </c>
      <c r="BG63" s="138" t="str">
        <f t="shared" si="98"/>
        <v/>
      </c>
      <c r="BH63" s="138" t="str">
        <f t="shared" si="98"/>
        <v/>
      </c>
      <c r="BI63" s="138">
        <f t="shared" si="98"/>
        <v>50</v>
      </c>
      <c r="BJ63" s="138" t="str">
        <f t="shared" si="98"/>
        <v/>
      </c>
      <c r="BK63" s="138" t="str">
        <f t="shared" si="98"/>
        <v/>
      </c>
      <c r="BL63" s="138" t="str">
        <f t="shared" si="98"/>
        <v/>
      </c>
      <c r="BM63" s="138">
        <f t="shared" si="98"/>
        <v>67</v>
      </c>
      <c r="BN63" s="138" t="str">
        <f t="shared" si="98"/>
        <v/>
      </c>
      <c r="BO63" s="138" t="str">
        <f t="shared" si="98"/>
        <v/>
      </c>
      <c r="BP63" s="138" t="str">
        <f t="shared" si="98"/>
        <v/>
      </c>
      <c r="BQ63" s="138">
        <f t="shared" si="98"/>
        <v>52</v>
      </c>
      <c r="BR63" s="138" t="str">
        <f t="shared" si="97"/>
        <v/>
      </c>
      <c r="BS63" s="138" t="str">
        <f t="shared" si="97"/>
        <v/>
      </c>
      <c r="BT63" s="138" t="str">
        <f t="shared" si="97"/>
        <v/>
      </c>
      <c r="BU63" s="138">
        <f t="shared" si="97"/>
        <v>93</v>
      </c>
      <c r="BV63" s="138" t="str">
        <f t="shared" ref="BV63:CC63" si="99">IF( LEN( BV61 ) = 0, "", ABS( BV61 ) + ABS( BV62 ) )</f>
        <v/>
      </c>
      <c r="BW63" s="138" t="str">
        <f t="shared" si="99"/>
        <v/>
      </c>
      <c r="BX63" s="138" t="str">
        <f t="shared" si="99"/>
        <v/>
      </c>
      <c r="BY63" s="138">
        <f t="shared" si="99"/>
        <v>90</v>
      </c>
      <c r="BZ63" s="138" t="str">
        <f t="shared" si="99"/>
        <v/>
      </c>
      <c r="CA63" s="138" t="str">
        <f t="shared" si="99"/>
        <v/>
      </c>
      <c r="CB63" s="138" t="str">
        <f t="shared" si="99"/>
        <v/>
      </c>
      <c r="CC63" s="138">
        <f t="shared" si="99"/>
        <v>59</v>
      </c>
      <c r="CD63" s="138" t="str">
        <f t="shared" ref="CD63:CG63" ca="1" si="100">IF( LEN( CD61 ) = 0, "", ABS( CD61 ) + ABS( CD62 ) )</f>
        <v/>
      </c>
      <c r="CE63" s="138" t="str">
        <f t="shared" ca="1" si="100"/>
        <v/>
      </c>
      <c r="CF63" s="138" t="str">
        <f t="shared" ca="1" si="100"/>
        <v/>
      </c>
      <c r="CG63" s="138">
        <f t="shared" ca="1" si="100"/>
        <v>52</v>
      </c>
    </row>
    <row r="64" spans="1:85" s="122" customFormat="1">
      <c r="B64" s="123"/>
      <c r="C64" s="123"/>
      <c r="D64" s="123"/>
      <c r="E64" s="123"/>
      <c r="F64" s="123"/>
      <c r="G64" s="123"/>
      <c r="H64" s="123"/>
      <c r="I64" s="123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-- 2020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Reg_Percent_2019</v>
      </c>
      <c r="G2" s="172" t="s">
        <v>323</v>
      </c>
      <c r="AJ2" s="173" t="str">
        <f>AJ4 &amp; AJ3</f>
        <v>'Credit_2020Q3'!d:d</v>
      </c>
      <c r="AK2" s="173" t="str">
        <f>AK4 &amp; AK3</f>
        <v>'Credit_2020Q3'!b1</v>
      </c>
      <c r="AL2" s="173" t="str">
        <f>AL4 &amp; AL3</f>
        <v>'Credit_2020Q3'!c1</v>
      </c>
      <c r="AQ2" s="169"/>
    </row>
    <row r="3" spans="1:61" ht="18" hidden="1" outlineLevel="1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'Credit_2020Q3'!</v>
      </c>
      <c r="AK4" s="169" t="str">
        <f t="shared" ref="AK4:AL4" si="0">$AQ$5</f>
        <v>'Credit_2020Q3'!</v>
      </c>
      <c r="AL4" s="169" t="str">
        <f t="shared" si="0"/>
        <v>'Credit_2020Q3'!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(34)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324</v>
      </c>
    </row>
    <row r="6" spans="1:61" ht="28.5" customHeight="1">
      <c r="A6" s="219" t="s">
        <v>212</v>
      </c>
      <c r="B6" s="220" t="s">
        <v>325</v>
      </c>
      <c r="C6" s="249" t="s">
        <v>214</v>
      </c>
      <c r="D6" s="221"/>
      <c r="E6" s="222">
        <f ca="1">INDIRECT( E3 &amp; G1 )</f>
        <v>43830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9"/>
        <v>R</v>
      </c>
      <c r="F11" s="365"/>
      <c r="G11" s="366">
        <f t="shared" ca="1" si="1"/>
        <v>19</v>
      </c>
      <c r="H11" s="367"/>
      <c r="I11" s="234"/>
      <c r="J11" s="215" t="s">
        <v>141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0.20588235294117646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3.9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19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3.9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9"/>
        <v>R</v>
      </c>
      <c r="F13" s="365"/>
      <c r="G13" s="366">
        <f t="shared" ca="1" si="1"/>
        <v>24</v>
      </c>
      <c r="H13" s="367"/>
      <c r="I13" s="235"/>
      <c r="J13" s="217" t="s">
        <v>143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8.8235294117647065E-2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20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9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18.84090909090909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27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9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33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9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18.818181818181817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18.764705882352942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36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9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40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9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42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9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43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3.9">
      <c r="A20" s="223" t="s">
        <v>225</v>
      </c>
      <c r="B20" s="224" t="s">
        <v>140</v>
      </c>
      <c r="C20" s="224">
        <v>19</v>
      </c>
      <c r="D20" s="224" t="s">
        <v>226</v>
      </c>
      <c r="E20" s="225" t="str">
        <f t="shared" ca="1" si="9"/>
        <v>R</v>
      </c>
      <c r="F20" s="365"/>
      <c r="G20" s="366">
        <f t="shared" ca="1" si="1"/>
        <v>9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3.9">
      <c r="A21" s="223" t="s">
        <v>233</v>
      </c>
      <c r="B21" s="224" t="s">
        <v>140</v>
      </c>
      <c r="C21" s="224">
        <v>19</v>
      </c>
      <c r="D21" s="224" t="s">
        <v>234</v>
      </c>
      <c r="E21" s="225" t="str">
        <f t="shared" ca="1" si="9"/>
        <v>MR</v>
      </c>
      <c r="F21" s="365"/>
      <c r="G21" s="366">
        <f t="shared" ca="1" si="1"/>
        <v>11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3.9">
      <c r="A22" s="223" t="s">
        <v>245</v>
      </c>
      <c r="B22" s="224" t="s">
        <v>140</v>
      </c>
      <c r="C22" s="224">
        <v>19</v>
      </c>
      <c r="D22" s="224" t="s">
        <v>246</v>
      </c>
      <c r="E22" s="225" t="str">
        <f t="shared" ca="1" si="9"/>
        <v>R</v>
      </c>
      <c r="F22" s="365"/>
      <c r="G22" s="366">
        <f t="shared" ca="1" si="1"/>
        <v>13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3.9">
      <c r="A23" s="223" t="s">
        <v>249</v>
      </c>
      <c r="B23" s="224" t="s">
        <v>140</v>
      </c>
      <c r="C23" s="224">
        <v>19</v>
      </c>
      <c r="D23" s="224" t="s">
        <v>250</v>
      </c>
      <c r="E23" s="225" t="str">
        <f t="shared" ca="1" si="9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9"/>
        <v>R</v>
      </c>
      <c r="F24" s="365"/>
      <c r="G24" s="366">
        <f t="shared" ca="1" si="1"/>
        <v>15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si="5"/>
        <v>14</v>
      </c>
      <c r="AW24" s="168">
        <f>COUNTIF( AV$7:AV24, AV24 )</f>
        <v>8</v>
      </c>
      <c r="AX24" s="208">
        <f t="shared" si="22"/>
        <v>14.8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3.9">
      <c r="A25" s="223" t="s">
        <v>258</v>
      </c>
      <c r="B25" s="224" t="s">
        <v>140</v>
      </c>
      <c r="C25" s="224">
        <v>19</v>
      </c>
      <c r="D25" s="224" t="s">
        <v>194</v>
      </c>
      <c r="E25" s="225" t="str">
        <f t="shared" ca="1" si="9"/>
        <v>R</v>
      </c>
      <c r="F25" s="365"/>
      <c r="G25" s="366">
        <f t="shared" ca="1" si="1"/>
        <v>17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si="5"/>
        <v>2</v>
      </c>
      <c r="AW25" s="168">
        <f>COUNTIF( AV$7:AV25, AV25 )</f>
        <v>5</v>
      </c>
      <c r="AX25" s="208">
        <f t="shared" si="22"/>
        <v>2.5</v>
      </c>
      <c r="AY25" s="168">
        <f t="shared" si="6"/>
        <v>6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9"/>
        <v>MR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si="5"/>
        <v>2</v>
      </c>
      <c r="AW26" s="168">
        <f>COUNTIF( AV$7:AV26, AV26 )</f>
        <v>6</v>
      </c>
      <c r="AX26" s="208">
        <f t="shared" si="22"/>
        <v>2.6</v>
      </c>
      <c r="AY26" s="168">
        <f t="shared" si="6"/>
        <v>7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3.9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65"/>
      <c r="G27" s="366">
        <f t="shared" ca="1" si="1"/>
        <v>22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si="5"/>
        <v>14</v>
      </c>
      <c r="AW27" s="168">
        <f>COUNTIF( AV$7:AV27, AV27 )</f>
        <v>9</v>
      </c>
      <c r="AX27" s="208">
        <f t="shared" si="22"/>
        <v>14.9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9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65"/>
      <c r="G28" s="366">
        <f t="shared" ca="1" si="1"/>
        <v>25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65"/>
      <c r="G29" s="366">
        <f t="shared" ca="1" si="1"/>
        <v>29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65"/>
      <c r="G30" s="366">
        <f t="shared" ca="1" si="1"/>
        <v>32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9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65"/>
      <c r="G31" s="366">
        <f t="shared" ca="1" si="1"/>
        <v>34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9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65"/>
      <c r="G32" s="366">
        <f t="shared" ca="1" si="1"/>
        <v>39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si="5"/>
        <v>14</v>
      </c>
      <c r="AW32" s="168">
        <f>COUNTIF( AV$7:AV32, AV32 )</f>
        <v>10</v>
      </c>
      <c r="AX32" s="208">
        <f t="shared" si="22"/>
        <v>15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65"/>
      <c r="G33" s="366">
        <f t="shared" ca="1" si="1"/>
        <v>41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si="5"/>
        <v>2</v>
      </c>
      <c r="AW33" s="168">
        <f>COUNTIF( AV$7:AV33, AV33 )</f>
        <v>7</v>
      </c>
      <c r="AX33" s="208">
        <f t="shared" si="22"/>
        <v>2.7</v>
      </c>
      <c r="AY33" s="168">
        <f t="shared" si="6"/>
        <v>8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MR</v>
      </c>
      <c r="F34" s="365"/>
      <c r="G34" s="366">
        <f t="shared" ca="1" si="1"/>
        <v>42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si="5"/>
        <v>14</v>
      </c>
      <c r="AW34" s="168">
        <f>COUNTIF( AV$7:AV34, AV34 )</f>
        <v>11</v>
      </c>
      <c r="AX34" s="208">
        <f t="shared" si="22"/>
        <v>15.1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44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si="5"/>
        <v>14</v>
      </c>
      <c r="AW36" s="168">
        <f>COUNTIF( AV$7:AV36, AV36 )</f>
        <v>12</v>
      </c>
      <c r="AX36" s="208">
        <f t="shared" si="22"/>
        <v>15.2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9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65"/>
      <c r="G39" s="366">
        <f t="shared" ca="1" si="1"/>
        <v>28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si="5"/>
        <v>2</v>
      </c>
      <c r="AW39" s="168">
        <f>COUNTIF( AV$7:AV39, AV39 )</f>
        <v>8</v>
      </c>
      <c r="AX39" s="208">
        <f t="shared" si="22"/>
        <v>2.8</v>
      </c>
      <c r="AY39" s="168">
        <f t="shared" si="6"/>
        <v>9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9">
      <c r="A40" s="223" t="s">
        <v>297</v>
      </c>
      <c r="B40" s="224" t="s">
        <v>141</v>
      </c>
      <c r="C40" s="224">
        <v>18</v>
      </c>
      <c r="D40" s="224" t="s">
        <v>298</v>
      </c>
      <c r="E40" s="225" t="str">
        <f t="shared" ca="1" si="9"/>
        <v>R</v>
      </c>
      <c r="F40" s="365"/>
      <c r="G40" s="366">
        <f t="shared" ca="1" si="1"/>
        <v>33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42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9">
      <c r="A41" s="223" t="s">
        <v>299</v>
      </c>
      <c r="B41" s="224" t="s">
        <v>141</v>
      </c>
      <c r="C41" s="224">
        <v>18</v>
      </c>
      <c r="D41" s="224" t="s">
        <v>300</v>
      </c>
      <c r="E41" s="225" t="str">
        <f t="shared" ca="1" si="9"/>
        <v>R</v>
      </c>
      <c r="F41" s="365"/>
      <c r="G41" s="366">
        <f t="shared" ca="1" si="1"/>
        <v>35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43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si="5"/>
        <v>14</v>
      </c>
      <c r="AW41" s="168">
        <f>COUNTIF( AV$7:AV41, AV41 )</f>
        <v>13</v>
      </c>
      <c r="AX41" s="208">
        <f t="shared" si="22"/>
        <v>15.3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9">
      <c r="A42" s="223" t="s">
        <v>303</v>
      </c>
      <c r="B42" s="224" t="s">
        <v>141</v>
      </c>
      <c r="C42" s="224">
        <v>18</v>
      </c>
      <c r="D42" s="224" t="s">
        <v>304</v>
      </c>
      <c r="E42" s="225" t="str">
        <f t="shared" ca="1" si="9"/>
        <v>R</v>
      </c>
      <c r="F42" s="365"/>
      <c r="G42" s="366">
        <f t="shared" ca="1" si="1"/>
        <v>38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44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si="5"/>
        <v>2</v>
      </c>
      <c r="AW42" s="168">
        <f>COUNTIF( AV$7:AV42, AV42 )</f>
        <v>9</v>
      </c>
      <c r="AX42" s="208">
        <f t="shared" si="22"/>
        <v>2.9</v>
      </c>
      <c r="AY42" s="168">
        <f t="shared" si="6"/>
        <v>10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9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9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41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si="5"/>
        <v>14</v>
      </c>
      <c r="AW43" s="168">
        <f>COUNTIF( AV$7:AV43, AV43 )</f>
        <v>14</v>
      </c>
      <c r="AX43" s="208">
        <f t="shared" si="22"/>
        <v>15.4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9">
      <c r="A44" s="223" t="s">
        <v>279</v>
      </c>
      <c r="B44" s="224" t="s">
        <v>142</v>
      </c>
      <c r="C44" s="224">
        <v>17</v>
      </c>
      <c r="D44" s="224" t="s">
        <v>280</v>
      </c>
      <c r="E44" s="225" t="str">
        <f t="shared" ca="1" si="9"/>
        <v>MR</v>
      </c>
      <c r="F44" s="365"/>
      <c r="G44" s="366">
        <f t="shared" ca="1" si="1"/>
        <v>27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46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9">
      <c r="A45" s="223" t="s">
        <v>254</v>
      </c>
      <c r="B45" s="224" t="s">
        <v>142</v>
      </c>
      <c r="C45" s="224">
        <v>17</v>
      </c>
      <c r="D45" s="224" t="s">
        <v>255</v>
      </c>
      <c r="E45" s="225" t="str">
        <f t="shared" ca="1" si="9"/>
        <v>R</v>
      </c>
      <c r="F45" s="365"/>
      <c r="G45" s="366">
        <f t="shared" ca="1" si="1"/>
        <v>53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si="5"/>
        <v>14</v>
      </c>
      <c r="AW45" s="168">
        <f>COUNTIF( AV$7:AV45, AV45 )</f>
        <v>15</v>
      </c>
      <c r="AX45" s="208">
        <f t="shared" si="22"/>
        <v>15.5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9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65"/>
      <c r="G46" s="366">
        <f t="shared" ca="1" si="1"/>
        <v>57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si="5"/>
        <v>2</v>
      </c>
      <c r="AW46" s="168">
        <f>COUNTIF( AV$7:AV46, AV46 )</f>
        <v>10</v>
      </c>
      <c r="AX46" s="208">
        <f t="shared" si="22"/>
        <v>3</v>
      </c>
      <c r="AY46" s="168">
        <f t="shared" si="6"/>
        <v>11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9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>
        <f t="shared" ca="1" si="3"/>
        <v>1</v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</v>
      </c>
      <c r="AL47" s="169">
        <f t="shared" ca="1" si="21"/>
        <v>15</v>
      </c>
      <c r="AM47" s="169" t="str">
        <f t="shared" ca="1" si="4"/>
        <v>Change</v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si="5"/>
        <v>14</v>
      </c>
      <c r="AW47" s="168">
        <f>COUNTIF( AV$7:AV47, AV47 )</f>
        <v>16</v>
      </c>
      <c r="AX47" s="208">
        <f t="shared" si="22"/>
        <v>15.6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9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65"/>
      <c r="G48" s="366">
        <f t="shared" ca="1" si="1"/>
        <v>26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>
        <f t="shared" ca="1" si="19"/>
        <v>1</v>
      </c>
      <c r="AJ48" s="169">
        <f t="shared" ca="1" si="20"/>
        <v>39</v>
      </c>
      <c r="AK48" s="169" t="str">
        <f t="shared" ca="1" si="21"/>
        <v>BBB</v>
      </c>
      <c r="AL48" s="169">
        <f t="shared" ca="1" si="21"/>
        <v>18</v>
      </c>
      <c r="AM48" s="169" t="str">
        <f t="shared" ca="1" si="4"/>
        <v>Change</v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si="5"/>
        <v>2</v>
      </c>
      <c r="AW48" s="168">
        <f>COUNTIF( AV$7:AV48, AV48 )</f>
        <v>11</v>
      </c>
      <c r="AX48" s="208">
        <f t="shared" si="22"/>
        <v>3.1</v>
      </c>
      <c r="AY48" s="168">
        <f t="shared" si="6"/>
        <v>12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9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65"/>
      <c r="G49" s="366">
        <f t="shared" ca="1" si="1"/>
        <v>36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si="5"/>
        <v>2</v>
      </c>
      <c r="AW49" s="168">
        <f>COUNTIF( AV$7:AV49, AV49 )</f>
        <v>12</v>
      </c>
      <c r="AX49" s="208">
        <f t="shared" si="22"/>
        <v>3.2</v>
      </c>
      <c r="AY49" s="168">
        <f t="shared" si="6"/>
        <v>13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9">
      <c r="A50" s="223"/>
      <c r="B50" s="224"/>
      <c r="C50" s="224"/>
      <c r="D50" s="224"/>
      <c r="E50" s="225"/>
      <c r="F50" s="365"/>
      <c r="G50" s="366"/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>AVERAGE(C7:C65)</f>
        <v>18.818181818181817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>SUMPRODUCT( L8:L13, Y8:Y13 ) / L14</f>
        <v>18.84090909090909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-- 2020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Reg_Percent_2019</v>
      </c>
      <c r="G2" s="172" t="s">
        <v>323</v>
      </c>
      <c r="AJ2" s="173" t="str">
        <f>AJ4 &amp; AJ3</f>
        <v>'Credit_2020Q2'!d:d</v>
      </c>
      <c r="AK2" s="173" t="str">
        <f>AK4 &amp; AK3</f>
        <v>'Credit_2020Q2'!b1</v>
      </c>
      <c r="AL2" s="173" t="str">
        <f>AL4 &amp; AL3</f>
        <v>'Credit_2020Q2'!c1</v>
      </c>
      <c r="AQ2" s="169"/>
    </row>
    <row r="3" spans="1:61" ht="18" hidden="1" outlineLevel="1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'Credit_2020Q2'!</v>
      </c>
      <c r="AK4" s="169" t="str">
        <f t="shared" ref="AK4:AL4" si="0">$AQ$5</f>
        <v>'Credit_2020Q2'!</v>
      </c>
      <c r="AL4" s="169" t="str">
        <f t="shared" si="0"/>
        <v>'Credit_2020Q2'!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(34)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326</v>
      </c>
    </row>
    <row r="6" spans="1:61" ht="28.5" customHeight="1">
      <c r="A6" s="219" t="s">
        <v>212</v>
      </c>
      <c r="B6" s="220" t="s">
        <v>327</v>
      </c>
      <c r="C6" s="249" t="s">
        <v>214</v>
      </c>
      <c r="D6" s="221"/>
      <c r="E6" s="222">
        <f ca="1">INDIRECT( E3 &amp; G1 )</f>
        <v>43830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9"/>
        <v>R</v>
      </c>
      <c r="F11" s="365"/>
      <c r="G11" s="366">
        <f t="shared" ca="1" si="1"/>
        <v>19</v>
      </c>
      <c r="H11" s="367"/>
      <c r="I11" s="234"/>
      <c r="J11" s="215" t="s">
        <v>141</v>
      </c>
      <c r="K11" s="234"/>
      <c r="L11" s="215">
        <f t="shared" si="10"/>
        <v>9</v>
      </c>
      <c r="M11" s="216">
        <f t="shared" si="11"/>
        <v>0.20454545454545456</v>
      </c>
      <c r="N11" s="234"/>
      <c r="O11" s="215">
        <f t="shared" ca="1" si="12"/>
        <v>8</v>
      </c>
      <c r="P11" s="216">
        <f t="shared" ca="1" si="13"/>
        <v>0.23529411764705882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3.9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3.9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9"/>
        <v>R</v>
      </c>
      <c r="F13" s="365"/>
      <c r="G13" s="366">
        <f t="shared" ca="1" si="1"/>
        <v>24</v>
      </c>
      <c r="H13" s="367"/>
      <c r="I13" s="235"/>
      <c r="J13" s="217" t="s">
        <v>143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5.8823529411764705E-2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9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18.886363636363637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9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9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18.863636363636363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18.823529411764707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5"/>
        <v>39</v>
      </c>
      <c r="AW16" s="168">
        <f>COUNTIF( AV$7:AV16, AV16 )</f>
        <v>1</v>
      </c>
      <c r="AX16" s="208">
        <f t="shared" si="22"/>
        <v>39.1</v>
      </c>
      <c r="AY16" s="168">
        <f t="shared" si="6"/>
        <v>39</v>
      </c>
      <c r="AZ16" s="169"/>
      <c r="BA16" s="169"/>
      <c r="BC16" s="168">
        <f t="shared" ca="1" si="24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9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9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9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3.9">
      <c r="A20" s="223" t="s">
        <v>225</v>
      </c>
      <c r="B20" s="224" t="s">
        <v>140</v>
      </c>
      <c r="C20" s="224">
        <v>19</v>
      </c>
      <c r="D20" s="224" t="s">
        <v>226</v>
      </c>
      <c r="E20" s="225" t="str">
        <f t="shared" ca="1" si="9"/>
        <v>R</v>
      </c>
      <c r="F20" s="365"/>
      <c r="G20" s="366">
        <f t="shared" ca="1" si="1"/>
        <v>9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3.9">
      <c r="A21" s="223" t="s">
        <v>233</v>
      </c>
      <c r="B21" s="224" t="s">
        <v>140</v>
      </c>
      <c r="C21" s="224">
        <v>19</v>
      </c>
      <c r="D21" s="224" t="s">
        <v>234</v>
      </c>
      <c r="E21" s="225" t="str">
        <f t="shared" ca="1" si="9"/>
        <v>MR</v>
      </c>
      <c r="F21" s="365"/>
      <c r="G21" s="366">
        <f t="shared" ca="1" si="1"/>
        <v>11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3.9">
      <c r="A22" s="223" t="s">
        <v>245</v>
      </c>
      <c r="B22" s="224" t="s">
        <v>140</v>
      </c>
      <c r="C22" s="224">
        <v>19</v>
      </c>
      <c r="D22" s="224" t="s">
        <v>246</v>
      </c>
      <c r="E22" s="225" t="str">
        <f t="shared" ca="1" si="9"/>
        <v>R</v>
      </c>
      <c r="F22" s="365"/>
      <c r="G22" s="366">
        <f t="shared" ca="1" si="1"/>
        <v>13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3.9">
      <c r="A23" s="223" t="s">
        <v>249</v>
      </c>
      <c r="B23" s="224" t="s">
        <v>140</v>
      </c>
      <c r="C23" s="224">
        <v>19</v>
      </c>
      <c r="D23" s="224" t="s">
        <v>250</v>
      </c>
      <c r="E23" s="225" t="str">
        <f t="shared" ca="1" si="9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9"/>
        <v>R</v>
      </c>
      <c r="F24" s="365"/>
      <c r="G24" s="366">
        <f t="shared" ca="1" si="1"/>
        <v>15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328</v>
      </c>
      <c r="AR24" s="207" t="s">
        <v>310</v>
      </c>
      <c r="AS24" s="207" t="s">
        <v>310</v>
      </c>
      <c r="AT24" s="207"/>
      <c r="AV24" s="168">
        <f t="shared" si="5"/>
        <v>99</v>
      </c>
      <c r="AW24" s="168">
        <f>COUNTIF( AV$7:AV24, AV24 )</f>
        <v>1</v>
      </c>
      <c r="AX24" s="208">
        <f t="shared" si="22"/>
        <v>99.1</v>
      </c>
      <c r="AY24" s="168">
        <f t="shared" si="6"/>
        <v>44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3.9">
      <c r="A25" s="223" t="s">
        <v>258</v>
      </c>
      <c r="B25" s="224" t="s">
        <v>140</v>
      </c>
      <c r="C25" s="224">
        <v>19</v>
      </c>
      <c r="D25" s="224" t="s">
        <v>194</v>
      </c>
      <c r="E25" s="225" t="str">
        <f t="shared" ca="1" si="9"/>
        <v>R</v>
      </c>
      <c r="F25" s="365"/>
      <c r="G25" s="366">
        <f t="shared" ca="1" si="1"/>
        <v>17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9"/>
        <v>MR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3.9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65"/>
      <c r="G27" s="366">
        <f t="shared" ca="1" si="1"/>
        <v>22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4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9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65"/>
      <c r="G28" s="366">
        <f t="shared" ca="1" si="1"/>
        <v>25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4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65"/>
      <c r="G29" s="366">
        <f t="shared" ca="1" si="1"/>
        <v>29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5"/>
        <v>30</v>
      </c>
      <c r="AW29" s="168">
        <f>COUNTIF( AV$7:AV29, AV29 )</f>
        <v>4</v>
      </c>
      <c r="AX29" s="208">
        <f t="shared" si="22"/>
        <v>30.4</v>
      </c>
      <c r="AY29" s="168">
        <f t="shared" si="6"/>
        <v>33</v>
      </c>
      <c r="AZ29" s="169"/>
      <c r="BA29" s="169"/>
      <c r="BC29" s="168">
        <f t="shared" ca="1" si="24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65"/>
      <c r="G30" s="366">
        <f t="shared" ca="1" si="1"/>
        <v>32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5"/>
        <v>39</v>
      </c>
      <c r="AW30" s="168">
        <f>COUNTIF( AV$7:AV30, AV30 )</f>
        <v>2</v>
      </c>
      <c r="AX30" s="208">
        <f t="shared" si="22"/>
        <v>39.200000000000003</v>
      </c>
      <c r="AY30" s="168">
        <f t="shared" si="6"/>
        <v>40</v>
      </c>
      <c r="AZ30" s="169"/>
      <c r="BA30" s="169"/>
      <c r="BC30" s="168">
        <f t="shared" ca="1" si="24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9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65"/>
      <c r="G31" s="366">
        <f t="shared" ca="1" si="1"/>
        <v>34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9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65"/>
      <c r="G32" s="366">
        <f t="shared" ca="1" si="1"/>
        <v>39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5"/>
        <v>30</v>
      </c>
      <c r="AW32" s="168">
        <f>COUNTIF( AV$7:AV32, AV32 )</f>
        <v>6</v>
      </c>
      <c r="AX32" s="208">
        <f t="shared" si="22"/>
        <v>30.6</v>
      </c>
      <c r="AY32" s="168">
        <f t="shared" si="6"/>
        <v>35</v>
      </c>
      <c r="AZ32" s="169"/>
      <c r="BA32" s="169"/>
      <c r="BC32" s="168">
        <f t="shared" ca="1" si="24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65"/>
      <c r="G33" s="366">
        <f t="shared" ca="1" si="1"/>
        <v>41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4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MR</v>
      </c>
      <c r="F34" s="365"/>
      <c r="G34" s="366">
        <f t="shared" ca="1" si="1"/>
        <v>42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44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4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5"/>
        <v>30</v>
      </c>
      <c r="AW36" s="168">
        <f>COUNTIF( AV$7:AV36, AV36 )</f>
        <v>7</v>
      </c>
      <c r="AX36" s="208">
        <f t="shared" si="22"/>
        <v>30.7</v>
      </c>
      <c r="AY36" s="168">
        <f t="shared" si="6"/>
        <v>36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5"/>
        <v>30</v>
      </c>
      <c r="AW38" s="168">
        <f>COUNTIF( AV$7:AV38, AV38 )</f>
        <v>8</v>
      </c>
      <c r="AX38" s="208">
        <f t="shared" si="22"/>
        <v>30.8</v>
      </c>
      <c r="AY38" s="168">
        <f t="shared" si="6"/>
        <v>37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9">
      <c r="A39" s="223" t="s">
        <v>275</v>
      </c>
      <c r="B39" s="224" t="s">
        <v>141</v>
      </c>
      <c r="C39" s="224">
        <v>18</v>
      </c>
      <c r="D39" s="224" t="s">
        <v>276</v>
      </c>
      <c r="E39" s="225" t="str">
        <f t="shared" ca="1" si="9"/>
        <v>R</v>
      </c>
      <c r="F39" s="365"/>
      <c r="G39" s="366">
        <f t="shared" ca="1" si="1"/>
        <v>26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301</v>
      </c>
      <c r="AR39" s="207" t="s">
        <v>177</v>
      </c>
      <c r="AS39" s="207">
        <v>14</v>
      </c>
      <c r="AT39" s="207" t="s">
        <v>302</v>
      </c>
      <c r="AV39" s="168">
        <f t="shared" si="5"/>
        <v>43</v>
      </c>
      <c r="AW39" s="168">
        <f>COUNTIF( AV$7:AV39, AV39 )</f>
        <v>1</v>
      </c>
      <c r="AX39" s="208">
        <f t="shared" si="22"/>
        <v>43.1</v>
      </c>
      <c r="AY39" s="168">
        <f t="shared" si="6"/>
        <v>43</v>
      </c>
      <c r="AZ39" s="169"/>
      <c r="BA39" s="169"/>
      <c r="BC39" s="168">
        <f t="shared" ca="1" si="24"/>
        <v>33</v>
      </c>
      <c r="BD39" s="209">
        <f t="shared" ca="1" si="8"/>
        <v>23</v>
      </c>
      <c r="BF39" s="173" t="str">
        <f t="shared" ca="1" si="23"/>
        <v>FirstEnergy Corp.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FE</v>
      </c>
    </row>
    <row r="40" spans="1:61" ht="13.9">
      <c r="A40" s="223" t="s">
        <v>283</v>
      </c>
      <c r="B40" s="224" t="s">
        <v>141</v>
      </c>
      <c r="C40" s="224">
        <v>18</v>
      </c>
      <c r="D40" s="224" t="s">
        <v>284</v>
      </c>
      <c r="E40" s="225" t="str">
        <f t="shared" ca="1" si="9"/>
        <v>R</v>
      </c>
      <c r="F40" s="365"/>
      <c r="G40" s="366">
        <f t="shared" ca="1" si="1"/>
        <v>28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5"/>
        <v>2</v>
      </c>
      <c r="AW40" s="168">
        <f>COUNTIF( AV$7:AV40, AV40 )</f>
        <v>8</v>
      </c>
      <c r="AX40" s="208">
        <f t="shared" si="22"/>
        <v>2.8</v>
      </c>
      <c r="AY40" s="168">
        <f t="shared" si="6"/>
        <v>9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IDACORP,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IDA</v>
      </c>
    </row>
    <row r="41" spans="1:61" ht="13.9">
      <c r="A41" s="223" t="s">
        <v>287</v>
      </c>
      <c r="B41" s="224" t="s">
        <v>141</v>
      </c>
      <c r="C41" s="224">
        <v>18</v>
      </c>
      <c r="D41" s="224" t="s">
        <v>288</v>
      </c>
      <c r="E41" s="225" t="str">
        <f t="shared" ca="1" si="9"/>
        <v>R</v>
      </c>
      <c r="F41" s="365"/>
      <c r="G41" s="366">
        <f t="shared" ca="1" si="1"/>
        <v>55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303</v>
      </c>
      <c r="AR41" s="207" t="s">
        <v>141</v>
      </c>
      <c r="AS41" s="207">
        <v>18</v>
      </c>
      <c r="AT41" s="207" t="s">
        <v>304</v>
      </c>
      <c r="AV41" s="168">
        <f t="shared" si="5"/>
        <v>30</v>
      </c>
      <c r="AW41" s="168">
        <f>COUNTIF( AV$7:AV41, AV41 )</f>
        <v>9</v>
      </c>
      <c r="AX41" s="208">
        <f t="shared" si="22"/>
        <v>30.9</v>
      </c>
      <c r="AY41" s="168">
        <f t="shared" si="6"/>
        <v>38</v>
      </c>
      <c r="AZ41" s="169"/>
      <c r="BA41" s="169"/>
      <c r="BC41" s="168">
        <f t="shared" ca="1" si="24"/>
        <v>35</v>
      </c>
      <c r="BD41" s="209">
        <f t="shared" ca="1" si="8"/>
        <v>26</v>
      </c>
      <c r="BF41" s="173" t="str">
        <f t="shared" ca="1" si="23"/>
        <v>IPALCO Enterprises, Inc.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**IPALCO</v>
      </c>
    </row>
    <row r="42" spans="1:61" ht="13.9">
      <c r="A42" s="223" t="s">
        <v>297</v>
      </c>
      <c r="B42" s="224" t="s">
        <v>141</v>
      </c>
      <c r="C42" s="224">
        <v>18</v>
      </c>
      <c r="D42" s="224" t="s">
        <v>298</v>
      </c>
      <c r="E42" s="225" t="str">
        <f t="shared" ca="1" si="9"/>
        <v>R</v>
      </c>
      <c r="F42" s="365"/>
      <c r="G42" s="366">
        <f t="shared" ca="1" si="1"/>
        <v>33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5"/>
        <v>14</v>
      </c>
      <c r="AW42" s="168">
        <f>COUNTIF( AV$7:AV42, AV42 )</f>
        <v>13</v>
      </c>
      <c r="AX42" s="208">
        <f t="shared" si="22"/>
        <v>15.3</v>
      </c>
      <c r="AY42" s="168">
        <f t="shared" si="6"/>
        <v>26</v>
      </c>
      <c r="AZ42" s="169"/>
      <c r="BA42" s="169"/>
      <c r="BC42" s="168">
        <f t="shared" ca="1" si="24"/>
        <v>36</v>
      </c>
      <c r="BD42" s="209">
        <f t="shared" ca="1" si="8"/>
        <v>30</v>
      </c>
      <c r="BF42" s="173" t="str">
        <f t="shared" ca="1" si="23"/>
        <v>NorthWestern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NWE</v>
      </c>
    </row>
    <row r="43" spans="1:61" ht="13.9">
      <c r="A43" s="223" t="s">
        <v>299</v>
      </c>
      <c r="B43" s="224" t="s">
        <v>141</v>
      </c>
      <c r="C43" s="224">
        <v>18</v>
      </c>
      <c r="D43" s="224" t="s">
        <v>300</v>
      </c>
      <c r="E43" s="225" t="str">
        <f t="shared" ca="1" si="9"/>
        <v>R</v>
      </c>
      <c r="F43" s="365"/>
      <c r="G43" s="366">
        <f t="shared" ca="1" si="1"/>
        <v>35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5"/>
        <v>2</v>
      </c>
      <c r="AW43" s="168">
        <f>COUNTIF( AV$7:AV43, AV43 )</f>
        <v>9</v>
      </c>
      <c r="AX43" s="208">
        <f t="shared" si="22"/>
        <v>2.9</v>
      </c>
      <c r="AY43" s="168">
        <f t="shared" si="6"/>
        <v>10</v>
      </c>
      <c r="AZ43" s="169"/>
      <c r="BA43" s="169"/>
      <c r="BC43" s="168">
        <f t="shared" ca="1" si="24"/>
        <v>37</v>
      </c>
      <c r="BD43" s="209">
        <f t="shared" ca="1" si="8"/>
        <v>32</v>
      </c>
      <c r="BF43" s="173" t="str">
        <f t="shared" ca="1" si="23"/>
        <v>Otter Tail Corporation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OTTR</v>
      </c>
    </row>
    <row r="44" spans="1:61" ht="13.9">
      <c r="A44" s="223" t="s">
        <v>303</v>
      </c>
      <c r="B44" s="224" t="s">
        <v>141</v>
      </c>
      <c r="C44" s="224">
        <v>18</v>
      </c>
      <c r="D44" s="224" t="s">
        <v>304</v>
      </c>
      <c r="E44" s="225" t="str">
        <f t="shared" ca="1" si="9"/>
        <v>R</v>
      </c>
      <c r="F44" s="365"/>
      <c r="G44" s="366">
        <f t="shared" ca="1" si="1"/>
        <v>38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5"/>
        <v>14</v>
      </c>
      <c r="AW44" s="168">
        <f>COUNTIF( AV$7:AV44, AV44 )</f>
        <v>14</v>
      </c>
      <c r="AX44" s="208">
        <f t="shared" si="22"/>
        <v>15.4</v>
      </c>
      <c r="AY44" s="168">
        <f t="shared" si="6"/>
        <v>27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3"/>
        <v>PNM Resources, Inc.</v>
      </c>
      <c r="BG44" s="173" t="str">
        <f t="shared" ca="1" si="23"/>
        <v>BBB</v>
      </c>
      <c r="BH44" s="173">
        <f t="shared" ca="1" si="23"/>
        <v>18</v>
      </c>
      <c r="BI44" s="173" t="str">
        <f t="shared" ca="1" si="23"/>
        <v>PNM</v>
      </c>
    </row>
    <row r="45" spans="1:61" ht="13.9">
      <c r="A45" s="223" t="s">
        <v>254</v>
      </c>
      <c r="B45" s="224" t="s">
        <v>142</v>
      </c>
      <c r="C45" s="224">
        <v>17</v>
      </c>
      <c r="D45" s="224" t="s">
        <v>255</v>
      </c>
      <c r="E45" s="225" t="str">
        <f t="shared" ca="1" si="9"/>
        <v>R</v>
      </c>
      <c r="F45" s="365"/>
      <c r="G45" s="366">
        <f t="shared" ca="1" si="1"/>
        <v>53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46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5"/>
        <v>39</v>
      </c>
      <c r="AW45" s="168">
        <f>COUNTIF( AV$7:AV45, AV45 )</f>
        <v>3</v>
      </c>
      <c r="AX45" s="208">
        <f t="shared" si="22"/>
        <v>39.299999999999997</v>
      </c>
      <c r="AY45" s="168">
        <f t="shared" si="6"/>
        <v>41</v>
      </c>
      <c r="AZ45" s="169"/>
      <c r="BA45" s="169"/>
      <c r="BC45" s="168">
        <f t="shared" ca="1" si="24"/>
        <v>39</v>
      </c>
      <c r="BD45" s="209">
        <f t="shared" ca="1" si="8"/>
        <v>10</v>
      </c>
      <c r="BF45" s="173" t="str">
        <f t="shared" ca="1" si="23"/>
        <v>Cleco Corporation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**CNL</v>
      </c>
    </row>
    <row r="46" spans="1:61" ht="13.9">
      <c r="A46" s="223" t="s">
        <v>279</v>
      </c>
      <c r="B46" s="224" t="s">
        <v>142</v>
      </c>
      <c r="C46" s="224">
        <v>17</v>
      </c>
      <c r="D46" s="224" t="s">
        <v>280</v>
      </c>
      <c r="E46" s="225" t="str">
        <f t="shared" ca="1" si="9"/>
        <v>MR</v>
      </c>
      <c r="F46" s="365"/>
      <c r="G46" s="366">
        <f t="shared" ca="1" si="1"/>
        <v>27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5"/>
        <v>14</v>
      </c>
      <c r="AW46" s="168">
        <f>COUNTIF( AV$7:AV46, AV46 )</f>
        <v>15</v>
      </c>
      <c r="AX46" s="208">
        <f t="shared" si="22"/>
        <v>15.5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24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9">
      <c r="A47" s="223" t="s">
        <v>305</v>
      </c>
      <c r="B47" s="224" t="s">
        <v>142</v>
      </c>
      <c r="C47" s="224">
        <v>17</v>
      </c>
      <c r="D47" s="224" t="s">
        <v>306</v>
      </c>
      <c r="E47" s="225" t="str">
        <f t="shared" ca="1" si="9"/>
        <v>R</v>
      </c>
      <c r="F47" s="365"/>
      <c r="G47" s="366">
        <f t="shared" ca="1" si="1"/>
        <v>57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5"/>
        <v>2</v>
      </c>
      <c r="AW47" s="168">
        <f>COUNTIF( AV$7:AV47, AV47 )</f>
        <v>10</v>
      </c>
      <c r="AX47" s="208">
        <f t="shared" si="22"/>
        <v>3</v>
      </c>
      <c r="AY47" s="168">
        <f t="shared" si="6"/>
        <v>11</v>
      </c>
      <c r="AZ47" s="169"/>
      <c r="BA47" s="169"/>
      <c r="BC47" s="168">
        <f t="shared" ca="1" si="24"/>
        <v>41</v>
      </c>
      <c r="BD47" s="209">
        <f t="shared" ca="1" si="8"/>
        <v>39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9">
      <c r="A48" s="223" t="s">
        <v>259</v>
      </c>
      <c r="B48" s="224" t="s">
        <v>175</v>
      </c>
      <c r="C48" s="224">
        <v>15</v>
      </c>
      <c r="D48" s="224" t="s">
        <v>260</v>
      </c>
      <c r="E48" s="225" t="str">
        <f t="shared" ca="1" si="9"/>
        <v>R</v>
      </c>
      <c r="F48" s="365"/>
      <c r="G48" s="366">
        <f t="shared" ca="1" si="1"/>
        <v>54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49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5"/>
        <v>14</v>
      </c>
      <c r="AW48" s="168">
        <f>COUNTIF( AV$7:AV48, AV48 )</f>
        <v>16</v>
      </c>
      <c r="AX48" s="208">
        <f t="shared" si="22"/>
        <v>15.6</v>
      </c>
      <c r="AY48" s="168">
        <f t="shared" si="6"/>
        <v>29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**DPL</v>
      </c>
    </row>
    <row r="49" spans="1:61" ht="13.9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65"/>
      <c r="G49" s="366">
        <f t="shared" ca="1" si="1"/>
        <v>36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50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33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9">
      <c r="A50" s="223"/>
      <c r="B50" s="224"/>
      <c r="C50" s="224"/>
      <c r="D50" s="224"/>
      <c r="E50" s="225"/>
      <c r="F50" s="365"/>
      <c r="G50" s="366"/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5"/>
        <v>2</v>
      </c>
      <c r="AW50" s="168">
        <f>COUNTIF( AV$7:AV50, AV50 )</f>
        <v>12</v>
      </c>
      <c r="AX50" s="208">
        <f t="shared" si="22"/>
        <v>3.2</v>
      </c>
      <c r="AY50" s="168">
        <f t="shared" si="6"/>
        <v>13</v>
      </c>
      <c r="AZ50" s="169"/>
      <c r="BA50" s="169"/>
      <c r="BC50" s="168">
        <f t="shared" ca="1" si="24"/>
        <v>44</v>
      </c>
      <c r="BD50" s="209">
        <f t="shared" ca="1" si="8"/>
        <v>18</v>
      </c>
      <c r="BF50" s="173" t="str">
        <f t="shared" ca="1" si="23"/>
        <v>El Paso Electric Company</v>
      </c>
      <c r="BG50" s="173" t="str">
        <f t="shared" ca="1" si="23"/>
        <v/>
      </c>
      <c r="BH50" s="173" t="str">
        <f t="shared" ca="1" si="23"/>
        <v/>
      </c>
      <c r="BI50" s="173">
        <f t="shared" ca="1" si="23"/>
        <v>0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>AVERAGE(C7:C65)</f>
        <v>18.863636363636363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>SUMPRODUCT( L8:L13, Y8:Y13 ) / L14</f>
        <v>18.886363636363637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-- 2020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Reg_Percent_2019</v>
      </c>
      <c r="G2" s="172" t="s">
        <v>323</v>
      </c>
      <c r="AJ2" s="173" t="str">
        <f>AJ4 &amp; AJ3</f>
        <v>'Credit_2020Q1'!d:d</v>
      </c>
      <c r="AK2" s="173" t="str">
        <f>AK4 &amp; AK3</f>
        <v>'Credit_2020Q1'!b1</v>
      </c>
      <c r="AL2" s="173" t="str">
        <f>AL4 &amp; AL3</f>
        <v>'Credit_2020Q1'!c1</v>
      </c>
      <c r="AQ2" s="169"/>
    </row>
    <row r="3" spans="1:61" ht="18" hidden="1" outlineLevel="1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'Credit_2020Q1'!</v>
      </c>
      <c r="AK4" s="169" t="str">
        <f t="shared" ref="AK4:AL4" si="0">$AQ$5</f>
        <v>'Credit_2020Q1'!</v>
      </c>
      <c r="AL4" s="169" t="str">
        <f t="shared" si="0"/>
        <v>'Credit_2020Q1'!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(45)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329</v>
      </c>
    </row>
    <row r="6" spans="1:61" ht="28.5" customHeight="1">
      <c r="A6" s="219" t="s">
        <v>212</v>
      </c>
      <c r="B6" s="220" t="s">
        <v>330</v>
      </c>
      <c r="C6" s="249" t="s">
        <v>214</v>
      </c>
      <c r="D6" s="221"/>
      <c r="E6" s="222">
        <f ca="1">INDIRECT( E3 &amp; G1 )</f>
        <v>43830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38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38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38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4.4444444444444446E-2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F50" ca="1" si="23">OFFSET( AQ$6, $BD8, 0 )</f>
        <v>Alliant Energy Corporation</v>
      </c>
      <c r="BG8" s="173" t="str">
        <f t="shared" ref="BG8:BG50" ca="1" si="24">OFFSET( AR$6, $BD8, 0 )</f>
        <v>A-</v>
      </c>
      <c r="BH8" s="173">
        <f t="shared" ref="BH8:BH50" ca="1" si="25">OFFSET( AS$6, $BD8, 0 )</f>
        <v>20</v>
      </c>
      <c r="BI8" s="173" t="str">
        <f t="shared" ref="BI8:BI50" ca="1" si="26">OFFSET( AT$6, $BD8, 0 )</f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si="10"/>
        <v>12</v>
      </c>
      <c r="M9" s="216">
        <f t="shared" si="11"/>
        <v>0.26666666666666666</v>
      </c>
      <c r="N9" s="234"/>
      <c r="O9" s="215">
        <f t="shared" ca="1" si="12"/>
        <v>11</v>
      </c>
      <c r="P9" s="216">
        <f t="shared" ca="1" si="13"/>
        <v>0.31428571428571428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7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4"/>
        <v>A-</v>
      </c>
      <c r="BH9" s="173">
        <f t="shared" ca="1" si="25"/>
        <v>20</v>
      </c>
      <c r="BI9" s="173" t="str">
        <f t="shared" ca="1" si="26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10"/>
        <v>16</v>
      </c>
      <c r="M10" s="216">
        <f t="shared" si="11"/>
        <v>0.35555555555555557</v>
      </c>
      <c r="N10" s="234"/>
      <c r="O10" s="215">
        <f t="shared" ca="1" si="12"/>
        <v>10</v>
      </c>
      <c r="P10" s="216">
        <f t="shared" ca="1" si="13"/>
        <v>0.2857142857142857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7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4"/>
        <v>A-</v>
      </c>
      <c r="BH10" s="173">
        <f t="shared" ca="1" si="25"/>
        <v>20</v>
      </c>
      <c r="BI10" s="173" t="str">
        <f t="shared" ca="1" si="26"/>
        <v>ED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9"/>
        <v>R</v>
      </c>
      <c r="F11" s="365"/>
      <c r="G11" s="366">
        <f t="shared" ca="1" si="1"/>
        <v>19</v>
      </c>
      <c r="H11" s="367"/>
      <c r="I11" s="234"/>
      <c r="J11" s="215" t="s">
        <v>141</v>
      </c>
      <c r="K11" s="234"/>
      <c r="L11" s="215">
        <f t="shared" si="10"/>
        <v>10</v>
      </c>
      <c r="M11" s="216">
        <f t="shared" si="11"/>
        <v>0.22222222222222221</v>
      </c>
      <c r="N11" s="234"/>
      <c r="O11" s="215">
        <f t="shared" ca="1" si="12"/>
        <v>9</v>
      </c>
      <c r="P11" s="216">
        <f t="shared" ca="1" si="13"/>
        <v>0.25714285714285712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7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4"/>
        <v>A-</v>
      </c>
      <c r="BH11" s="173">
        <f t="shared" ca="1" si="25"/>
        <v>20</v>
      </c>
      <c r="BI11" s="173" t="str">
        <f t="shared" ca="1" si="26"/>
        <v>DUK</v>
      </c>
    </row>
    <row r="12" spans="1:61" ht="13.9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si="10"/>
        <v>3</v>
      </c>
      <c r="M12" s="216">
        <f t="shared" si="11"/>
        <v>6.6666666666666666E-2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7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4"/>
        <v>A-</v>
      </c>
      <c r="BH12" s="173">
        <f t="shared" ca="1" si="25"/>
        <v>20</v>
      </c>
      <c r="BI12" s="173" t="str">
        <f t="shared" ca="1" si="26"/>
        <v>EVRG</v>
      </c>
    </row>
    <row r="13" spans="1:61" ht="13.9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9"/>
        <v>R</v>
      </c>
      <c r="F13" s="365"/>
      <c r="G13" s="366">
        <f t="shared" ca="1" si="1"/>
        <v>24</v>
      </c>
      <c r="H13" s="367"/>
      <c r="I13" s="235"/>
      <c r="J13" s="217" t="s">
        <v>143</v>
      </c>
      <c r="K13" s="235"/>
      <c r="L13" s="217">
        <f t="shared" si="10"/>
        <v>2</v>
      </c>
      <c r="M13" s="218">
        <f t="shared" si="11"/>
        <v>4.4444444444444446E-2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7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4"/>
        <v>A-</v>
      </c>
      <c r="BH13" s="173">
        <f t="shared" ca="1" si="25"/>
        <v>20</v>
      </c>
      <c r="BI13" s="173" t="str">
        <f t="shared" ca="1" si="26"/>
        <v>ES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9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18.866666666666667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7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4"/>
        <v>A-</v>
      </c>
      <c r="BH14" s="173">
        <f t="shared" ca="1" si="25"/>
        <v>20</v>
      </c>
      <c r="BI14" s="173" t="str">
        <f t="shared" ca="1" si="26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9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7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4"/>
        <v>A-</v>
      </c>
      <c r="BH15" s="173">
        <f t="shared" ca="1" si="25"/>
        <v>20</v>
      </c>
      <c r="BI15" s="173" t="str">
        <f t="shared" ca="1" si="26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9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18.844444444444445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18.8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5"/>
        <v>40</v>
      </c>
      <c r="AW16" s="168">
        <f>COUNTIF( AV$7:AV16, AV16 )</f>
        <v>1</v>
      </c>
      <c r="AX16" s="208">
        <f t="shared" si="22"/>
        <v>40.1</v>
      </c>
      <c r="AY16" s="168">
        <f t="shared" si="6"/>
        <v>40</v>
      </c>
      <c r="AZ16" s="169"/>
      <c r="BA16" s="169"/>
      <c r="BC16" s="168">
        <f t="shared" ca="1" si="27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4"/>
        <v>A-</v>
      </c>
      <c r="BH16" s="173">
        <f t="shared" ca="1" si="25"/>
        <v>20</v>
      </c>
      <c r="BI16" s="173" t="str">
        <f t="shared" ca="1" si="26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9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7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4"/>
        <v>A-</v>
      </c>
      <c r="BH17" s="173">
        <f t="shared" ca="1" si="25"/>
        <v>20</v>
      </c>
      <c r="BI17" s="173" t="str">
        <f t="shared" ca="1" si="26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9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7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4"/>
        <v>A-</v>
      </c>
      <c r="BH18" s="173">
        <f t="shared" ca="1" si="25"/>
        <v>20</v>
      </c>
      <c r="BI18" s="173" t="str">
        <f t="shared" ca="1" si="26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9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7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4"/>
        <v>A-</v>
      </c>
      <c r="BH19" s="173">
        <f t="shared" ca="1" si="25"/>
        <v>20</v>
      </c>
      <c r="BI19" s="173" t="str">
        <f t="shared" ca="1" si="26"/>
        <v>XEL</v>
      </c>
    </row>
    <row r="20" spans="1:61" ht="13.9">
      <c r="A20" s="223" t="s">
        <v>225</v>
      </c>
      <c r="B20" s="224" t="s">
        <v>140</v>
      </c>
      <c r="C20" s="224">
        <v>19</v>
      </c>
      <c r="D20" s="224" t="s">
        <v>226</v>
      </c>
      <c r="E20" s="225" t="str">
        <f t="shared" ca="1" si="9"/>
        <v>R</v>
      </c>
      <c r="F20" s="365"/>
      <c r="G20" s="366">
        <f t="shared" ca="1" si="1"/>
        <v>9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5"/>
        <v>43</v>
      </c>
      <c r="AW20" s="168">
        <f>COUNTIF( AV$7:AV20, AV20 )</f>
        <v>1</v>
      </c>
      <c r="AX20" s="208">
        <f t="shared" si="22"/>
        <v>43.1</v>
      </c>
      <c r="AY20" s="168">
        <f t="shared" si="6"/>
        <v>43</v>
      </c>
      <c r="AZ20" s="169"/>
      <c r="BA20" s="169"/>
      <c r="BC20" s="168">
        <f t="shared" ca="1" si="27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4"/>
        <v>BBB+</v>
      </c>
      <c r="BH20" s="173">
        <f t="shared" ca="1" si="25"/>
        <v>19</v>
      </c>
      <c r="BI20" s="173" t="str">
        <f t="shared" ca="1" si="26"/>
        <v>AEE</v>
      </c>
    </row>
    <row r="21" spans="1:61" ht="13.9">
      <c r="A21" s="223" t="s">
        <v>233</v>
      </c>
      <c r="B21" s="224" t="s">
        <v>140</v>
      </c>
      <c r="C21" s="224">
        <v>19</v>
      </c>
      <c r="D21" s="224" t="s">
        <v>234</v>
      </c>
      <c r="E21" s="225" t="str">
        <f t="shared" ca="1" si="9"/>
        <v>MR</v>
      </c>
      <c r="F21" s="365"/>
      <c r="G21" s="366">
        <f t="shared" ca="1" si="1"/>
        <v>11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7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4"/>
        <v>BBB+</v>
      </c>
      <c r="BH21" s="173">
        <f t="shared" ca="1" si="25"/>
        <v>19</v>
      </c>
      <c r="BI21" s="173" t="str">
        <f t="shared" ca="1" si="26"/>
        <v>AGR</v>
      </c>
    </row>
    <row r="22" spans="1:61" ht="13.9">
      <c r="A22" s="223" t="s">
        <v>245</v>
      </c>
      <c r="B22" s="224" t="s">
        <v>140</v>
      </c>
      <c r="C22" s="224">
        <v>19</v>
      </c>
      <c r="D22" s="224" t="s">
        <v>246</v>
      </c>
      <c r="E22" s="225" t="str">
        <f t="shared" ca="1" si="9"/>
        <v>R</v>
      </c>
      <c r="F22" s="365"/>
      <c r="G22" s="366">
        <f t="shared" ca="1" si="1"/>
        <v>13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7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4"/>
        <v>BBB+</v>
      </c>
      <c r="BH22" s="173">
        <f t="shared" ca="1" si="25"/>
        <v>19</v>
      </c>
      <c r="BI22" s="173" t="str">
        <f t="shared" ca="1" si="26"/>
        <v>BKH</v>
      </c>
    </row>
    <row r="23" spans="1:61" ht="13.9">
      <c r="A23" s="223" t="s">
        <v>249</v>
      </c>
      <c r="B23" s="224" t="s">
        <v>140</v>
      </c>
      <c r="C23" s="224">
        <v>19</v>
      </c>
      <c r="D23" s="224" t="s">
        <v>250</v>
      </c>
      <c r="E23" s="225" t="str">
        <f t="shared" ca="1" si="9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7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4"/>
        <v>BBB+</v>
      </c>
      <c r="BH23" s="173">
        <f t="shared" ca="1" si="25"/>
        <v>19</v>
      </c>
      <c r="BI23" s="173" t="str">
        <f t="shared" ca="1" si="26"/>
        <v>CNP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9"/>
        <v>R</v>
      </c>
      <c r="F24" s="365"/>
      <c r="G24" s="366">
        <f t="shared" ca="1" si="1"/>
        <v>15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5"/>
        <v>30</v>
      </c>
      <c r="AW24" s="168">
        <f>COUNTIF( AV$7:AV24, AV24 )</f>
        <v>4</v>
      </c>
      <c r="AX24" s="208">
        <f t="shared" si="22"/>
        <v>30.4</v>
      </c>
      <c r="AY24" s="168">
        <f t="shared" si="6"/>
        <v>33</v>
      </c>
      <c r="AZ24" s="169"/>
      <c r="BA24" s="169"/>
      <c r="BC24" s="168">
        <f t="shared" ca="1" si="27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4"/>
        <v>BBB+</v>
      </c>
      <c r="BH24" s="173">
        <f t="shared" ca="1" si="25"/>
        <v>19</v>
      </c>
      <c r="BI24" s="173" t="str">
        <f t="shared" ca="1" si="26"/>
        <v>CMS</v>
      </c>
    </row>
    <row r="25" spans="1:61" ht="13.9">
      <c r="A25" s="223" t="s">
        <v>258</v>
      </c>
      <c r="B25" s="224" t="s">
        <v>140</v>
      </c>
      <c r="C25" s="224">
        <v>19</v>
      </c>
      <c r="D25" s="224" t="s">
        <v>194</v>
      </c>
      <c r="E25" s="225" t="str">
        <f t="shared" ca="1" si="9"/>
        <v>R</v>
      </c>
      <c r="F25" s="365"/>
      <c r="G25" s="366">
        <f t="shared" ca="1" si="1"/>
        <v>17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7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4"/>
        <v>BBB+</v>
      </c>
      <c r="BH25" s="173">
        <f t="shared" ca="1" si="25"/>
        <v>19</v>
      </c>
      <c r="BI25" s="173" t="str">
        <f t="shared" ca="1" si="26"/>
        <v>D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9"/>
        <v>MR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27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7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4"/>
        <v>BBB+</v>
      </c>
      <c r="BH26" s="173">
        <f t="shared" ca="1" si="25"/>
        <v>19</v>
      </c>
      <c r="BI26" s="173" t="str">
        <f t="shared" ca="1" si="26"/>
        <v>DTE</v>
      </c>
    </row>
    <row r="27" spans="1:61" ht="13.9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65"/>
      <c r="G27" s="366">
        <f t="shared" ca="1" si="1"/>
        <v>22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28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7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4"/>
        <v>BBB+</v>
      </c>
      <c r="BH27" s="173">
        <f t="shared" ca="1" si="25"/>
        <v>19</v>
      </c>
      <c r="BI27" s="173" t="str">
        <f t="shared" ca="1" si="26"/>
        <v>ETR</v>
      </c>
    </row>
    <row r="28" spans="1:61" ht="13.9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65"/>
      <c r="G28" s="366">
        <f t="shared" ca="1" si="1"/>
        <v>25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29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7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4"/>
        <v>BBB+</v>
      </c>
      <c r="BH28" s="173">
        <f t="shared" ca="1" si="25"/>
        <v>19</v>
      </c>
      <c r="BI28" s="173" t="str">
        <f t="shared" ca="1" si="26"/>
        <v>EXC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65"/>
      <c r="G29" s="366">
        <f t="shared" ca="1" si="1"/>
        <v>29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30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5"/>
        <v>30</v>
      </c>
      <c r="AW29" s="168">
        <f>COUNTIF( AV$7:AV29, AV29 )</f>
        <v>5</v>
      </c>
      <c r="AX29" s="208">
        <f t="shared" si="22"/>
        <v>30.5</v>
      </c>
      <c r="AY29" s="168">
        <f t="shared" si="6"/>
        <v>34</v>
      </c>
      <c r="AZ29" s="169"/>
      <c r="BA29" s="169"/>
      <c r="BC29" s="168">
        <f t="shared" ca="1" si="27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4"/>
        <v>BBB+</v>
      </c>
      <c r="BH29" s="173">
        <f t="shared" ca="1" si="25"/>
        <v>19</v>
      </c>
      <c r="BI29" s="173" t="str">
        <f t="shared" ca="1" si="26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65"/>
      <c r="G30" s="366">
        <f t="shared" ca="1" si="1"/>
        <v>32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31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5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6"/>
        <v>41</v>
      </c>
      <c r="AZ30" s="169"/>
      <c r="BA30" s="169"/>
      <c r="BC30" s="168">
        <f t="shared" ca="1" si="27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4"/>
        <v>BBB+</v>
      </c>
      <c r="BH30" s="173">
        <f t="shared" ca="1" si="25"/>
        <v>19</v>
      </c>
      <c r="BI30" s="173" t="str">
        <f t="shared" ca="1" si="26"/>
        <v>NI</v>
      </c>
    </row>
    <row r="31" spans="1:61" ht="13.9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65"/>
      <c r="G31" s="366">
        <f t="shared" ca="1" si="1"/>
        <v>34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5"/>
        <v>30</v>
      </c>
      <c r="AW31" s="168">
        <f>COUNTIF( AV$7:AV31, AV31 )</f>
        <v>6</v>
      </c>
      <c r="AX31" s="208">
        <f t="shared" si="22"/>
        <v>30.6</v>
      </c>
      <c r="AY31" s="168">
        <f t="shared" si="6"/>
        <v>35</v>
      </c>
      <c r="AZ31" s="169"/>
      <c r="BA31" s="169"/>
      <c r="BC31" s="168">
        <f t="shared" ca="1" si="27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4"/>
        <v>BBB+</v>
      </c>
      <c r="BH31" s="173">
        <f t="shared" ca="1" si="25"/>
        <v>19</v>
      </c>
      <c r="BI31" s="173" t="str">
        <f t="shared" ca="1" si="26"/>
        <v>OGE</v>
      </c>
    </row>
    <row r="32" spans="1:61" ht="13.9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65"/>
      <c r="G32" s="366">
        <f t="shared" ca="1" si="1"/>
        <v>39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34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5"/>
        <v>30</v>
      </c>
      <c r="AW32" s="168">
        <f>COUNTIF( AV$7:AV32, AV32 )</f>
        <v>7</v>
      </c>
      <c r="AX32" s="208">
        <f t="shared" si="22"/>
        <v>30.7</v>
      </c>
      <c r="AY32" s="168">
        <f t="shared" si="6"/>
        <v>36</v>
      </c>
      <c r="AZ32" s="169"/>
      <c r="BA32" s="169"/>
      <c r="BC32" s="168">
        <f t="shared" ca="1" si="27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4"/>
        <v>BBB+</v>
      </c>
      <c r="BH32" s="173">
        <f t="shared" ca="1" si="25"/>
        <v>19</v>
      </c>
      <c r="BI32" s="173" t="str">
        <f t="shared" ca="1" si="26"/>
        <v>POR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65"/>
      <c r="G33" s="366">
        <f t="shared" ca="1" si="1"/>
        <v>41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35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7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4"/>
        <v>BBB+</v>
      </c>
      <c r="BH33" s="173">
        <f t="shared" ca="1" si="25"/>
        <v>19</v>
      </c>
      <c r="BI33" s="173" t="str">
        <f t="shared" ca="1" si="26"/>
        <v>PEG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MR</v>
      </c>
      <c r="F34" s="365"/>
      <c r="G34" s="366">
        <f t="shared" ca="1" si="1"/>
        <v>42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36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7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4"/>
        <v>BBB+</v>
      </c>
      <c r="BH34" s="173">
        <f t="shared" ca="1" si="25"/>
        <v>19</v>
      </c>
      <c r="BI34" s="173" t="str">
        <f t="shared" ca="1" si="26"/>
        <v>SRE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44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37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7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4"/>
        <v>BBB+</v>
      </c>
      <c r="BH35" s="173">
        <f t="shared" ca="1" si="25"/>
        <v>19</v>
      </c>
      <c r="BI35" s="173" t="str">
        <f t="shared" ca="1" si="26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>
        <f t="shared" ca="1" si="19"/>
        <v>1</v>
      </c>
      <c r="AJ36" s="169">
        <f t="shared" ca="1" si="20"/>
        <v>20</v>
      </c>
      <c r="AK36" s="169" t="str">
        <f t="shared" ca="1" si="21"/>
        <v>BBB+</v>
      </c>
      <c r="AL36" s="169">
        <f t="shared" ca="1" si="21"/>
        <v>19</v>
      </c>
      <c r="AM36" s="169" t="str">
        <f t="shared" ca="1" si="4"/>
        <v>Change</v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5"/>
        <v>30</v>
      </c>
      <c r="AW36" s="168">
        <f>COUNTIF( AV$7:AV36, AV36 )</f>
        <v>8</v>
      </c>
      <c r="AX36" s="208">
        <f t="shared" si="22"/>
        <v>30.8</v>
      </c>
      <c r="AY36" s="168">
        <f t="shared" si="6"/>
        <v>37</v>
      </c>
      <c r="AZ36" s="169"/>
      <c r="BA36" s="169"/>
      <c r="BC36" s="168">
        <f t="shared" ca="1" si="27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4"/>
        <v>BBB</v>
      </c>
      <c r="BH36" s="173">
        <f t="shared" ca="1" si="25"/>
        <v>18</v>
      </c>
      <c r="BI36" s="173" t="str">
        <f t="shared" ca="1" si="26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38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7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4"/>
        <v>BBB</v>
      </c>
      <c r="BH37" s="173">
        <f t="shared" ca="1" si="25"/>
        <v>18</v>
      </c>
      <c r="BI37" s="173" t="str">
        <f t="shared" ca="1" si="26"/>
        <v>AVA</v>
      </c>
    </row>
    <row r="38" spans="1:61" ht="13.9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39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5"/>
        <v>30</v>
      </c>
      <c r="AW38" s="168">
        <f>COUNTIF( AV$7:AV38, AV38 )</f>
        <v>9</v>
      </c>
      <c r="AX38" s="208">
        <f t="shared" si="22"/>
        <v>30.9</v>
      </c>
      <c r="AY38" s="168">
        <f t="shared" si="6"/>
        <v>38</v>
      </c>
      <c r="AZ38" s="169"/>
      <c r="BA38" s="169"/>
      <c r="BC38" s="168">
        <f t="shared" ca="1" si="27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4"/>
        <v>BBB</v>
      </c>
      <c r="BH38" s="173">
        <f t="shared" ca="1" si="25"/>
        <v>18</v>
      </c>
      <c r="BI38" s="173" t="str">
        <f t="shared" ca="1" si="26"/>
        <v>EIX</v>
      </c>
    </row>
    <row r="39" spans="1:61" ht="13.9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9"/>
        <v>R</v>
      </c>
      <c r="F39" s="365"/>
      <c r="G39" s="366">
        <f t="shared" ca="1" si="1"/>
        <v>21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301</v>
      </c>
      <c r="AR39" s="207" t="s">
        <v>177</v>
      </c>
      <c r="AS39" s="207">
        <v>14</v>
      </c>
      <c r="AT39" s="207" t="s">
        <v>302</v>
      </c>
      <c r="AV39" s="168">
        <f t="shared" ref="AV39:AV63" si="28">IF( LEN( AS39 ) = 0, 99, RANK( AS39, $AS$7:$AS$62 ) )</f>
        <v>44</v>
      </c>
      <c r="AW39" s="168">
        <f>COUNTIF( AV$7:AV39, AV39 )</f>
        <v>1</v>
      </c>
      <c r="AX39" s="208">
        <f t="shared" si="22"/>
        <v>44.1</v>
      </c>
      <c r="AY39" s="168">
        <f t="shared" ref="AY39:AY63" si="29">RANK( AX39, $AX$7:$AX$63, 1 )</f>
        <v>44</v>
      </c>
      <c r="AZ39" s="169"/>
      <c r="BA39" s="169"/>
      <c r="BC39" s="168">
        <f t="shared" ca="1" si="27"/>
        <v>33</v>
      </c>
      <c r="BD39" s="209">
        <f t="shared" ref="BD39:BD63" ca="1" si="30">MATCH( BC39, $AY$7:$AY$63, 0 )</f>
        <v>18</v>
      </c>
      <c r="BF39" s="173" t="str">
        <f t="shared" ca="1" si="23"/>
        <v>El Paso Electric Company</v>
      </c>
      <c r="BG39" s="173" t="str">
        <f t="shared" ca="1" si="24"/>
        <v>BBB</v>
      </c>
      <c r="BH39" s="173">
        <f t="shared" ca="1" si="25"/>
        <v>18</v>
      </c>
      <c r="BI39" s="173" t="str">
        <f t="shared" ca="1" si="26"/>
        <v>EE</v>
      </c>
    </row>
    <row r="40" spans="1:61" ht="13.9">
      <c r="A40" s="223" t="s">
        <v>275</v>
      </c>
      <c r="B40" s="224" t="s">
        <v>141</v>
      </c>
      <c r="C40" s="224">
        <v>18</v>
      </c>
      <c r="D40" s="224" t="s">
        <v>276</v>
      </c>
      <c r="E40" s="225" t="str">
        <f t="shared" ca="1" si="9"/>
        <v>R</v>
      </c>
      <c r="F40" s="365"/>
      <c r="G40" s="366">
        <f t="shared" ca="1" si="1"/>
        <v>26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8"/>
        <v>2</v>
      </c>
      <c r="AW40" s="168">
        <f>COUNTIF( AV$7:AV40, AV40 )</f>
        <v>8</v>
      </c>
      <c r="AX40" s="208">
        <f t="shared" si="22"/>
        <v>2.8</v>
      </c>
      <c r="AY40" s="168">
        <f t="shared" si="29"/>
        <v>9</v>
      </c>
      <c r="AZ40" s="169"/>
      <c r="BA40" s="169"/>
      <c r="BC40" s="168">
        <f t="shared" ca="1" si="27"/>
        <v>34</v>
      </c>
      <c r="BD40" s="209">
        <f t="shared" ca="1" si="30"/>
        <v>23</v>
      </c>
      <c r="BF40" s="173" t="str">
        <f t="shared" ca="1" si="23"/>
        <v>FirstEnergy Corp.</v>
      </c>
      <c r="BG40" s="173" t="str">
        <f t="shared" ca="1" si="24"/>
        <v>BBB</v>
      </c>
      <c r="BH40" s="173">
        <f t="shared" ca="1" si="25"/>
        <v>18</v>
      </c>
      <c r="BI40" s="173" t="str">
        <f t="shared" ca="1" si="26"/>
        <v>FE</v>
      </c>
    </row>
    <row r="41" spans="1:61" ht="13.9">
      <c r="A41" s="223" t="s">
        <v>283</v>
      </c>
      <c r="B41" s="224" t="s">
        <v>141</v>
      </c>
      <c r="C41" s="224">
        <v>18</v>
      </c>
      <c r="D41" s="224" t="s">
        <v>284</v>
      </c>
      <c r="E41" s="225" t="str">
        <f t="shared" ca="1" si="9"/>
        <v>R</v>
      </c>
      <c r="F41" s="365"/>
      <c r="G41" s="366">
        <f t="shared" ca="1" si="1"/>
        <v>28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303</v>
      </c>
      <c r="AR41" s="207" t="s">
        <v>141</v>
      </c>
      <c r="AS41" s="207">
        <v>18</v>
      </c>
      <c r="AT41" s="207" t="s">
        <v>304</v>
      </c>
      <c r="AV41" s="168">
        <f t="shared" si="28"/>
        <v>30</v>
      </c>
      <c r="AW41" s="168">
        <f>COUNTIF( AV$7:AV41, AV41 )</f>
        <v>10</v>
      </c>
      <c r="AX41" s="208">
        <f t="shared" si="22"/>
        <v>31</v>
      </c>
      <c r="AY41" s="168">
        <f t="shared" si="29"/>
        <v>39</v>
      </c>
      <c r="AZ41" s="169"/>
      <c r="BA41" s="169"/>
      <c r="BC41" s="168">
        <f t="shared" ca="1" si="27"/>
        <v>35</v>
      </c>
      <c r="BD41" s="209">
        <f t="shared" ca="1" si="30"/>
        <v>25</v>
      </c>
      <c r="BF41" s="173" t="str">
        <f t="shared" ca="1" si="23"/>
        <v>IDACORP, Inc.</v>
      </c>
      <c r="BG41" s="173" t="str">
        <f t="shared" ca="1" si="24"/>
        <v>BBB</v>
      </c>
      <c r="BH41" s="173">
        <f t="shared" ca="1" si="25"/>
        <v>18</v>
      </c>
      <c r="BI41" s="173" t="str">
        <f t="shared" ca="1" si="26"/>
        <v>IDA</v>
      </c>
    </row>
    <row r="42" spans="1:61" ht="13.9">
      <c r="A42" s="223" t="s">
        <v>287</v>
      </c>
      <c r="B42" s="224" t="s">
        <v>141</v>
      </c>
      <c r="C42" s="224">
        <v>18</v>
      </c>
      <c r="D42" s="224" t="s">
        <v>288</v>
      </c>
      <c r="E42" s="225" t="str">
        <f t="shared" ca="1" si="9"/>
        <v>R</v>
      </c>
      <c r="F42" s="365"/>
      <c r="G42" s="366">
        <f t="shared" ca="1" si="1"/>
        <v>55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8"/>
        <v>14</v>
      </c>
      <c r="AW42" s="168">
        <f>COUNTIF( AV$7:AV42, AV42 )</f>
        <v>13</v>
      </c>
      <c r="AX42" s="208">
        <f t="shared" si="22"/>
        <v>15.3</v>
      </c>
      <c r="AY42" s="168">
        <f t="shared" si="29"/>
        <v>26</v>
      </c>
      <c r="AZ42" s="169"/>
      <c r="BA42" s="169"/>
      <c r="BC42" s="168">
        <f t="shared" ca="1" si="27"/>
        <v>36</v>
      </c>
      <c r="BD42" s="209">
        <f t="shared" ca="1" si="30"/>
        <v>26</v>
      </c>
      <c r="BF42" s="173" t="str">
        <f t="shared" ca="1" si="23"/>
        <v>IPALCO Enterprises, Inc.</v>
      </c>
      <c r="BG42" s="173" t="str">
        <f t="shared" ca="1" si="24"/>
        <v>BBB</v>
      </c>
      <c r="BH42" s="173">
        <f t="shared" ca="1" si="25"/>
        <v>18</v>
      </c>
      <c r="BI42" s="173" t="str">
        <f t="shared" ca="1" si="26"/>
        <v>**IPALCO</v>
      </c>
    </row>
    <row r="43" spans="1:61" ht="13.9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9"/>
        <v>R</v>
      </c>
      <c r="F43" s="365"/>
      <c r="G43" s="366">
        <f t="shared" ca="1" si="1"/>
        <v>33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8"/>
        <v>2</v>
      </c>
      <c r="AW43" s="168">
        <f>COUNTIF( AV$7:AV43, AV43 )</f>
        <v>9</v>
      </c>
      <c r="AX43" s="208">
        <f t="shared" si="22"/>
        <v>2.9</v>
      </c>
      <c r="AY43" s="168">
        <f t="shared" si="29"/>
        <v>10</v>
      </c>
      <c r="AZ43" s="169"/>
      <c r="BA43" s="169"/>
      <c r="BC43" s="168">
        <f t="shared" ca="1" si="27"/>
        <v>37</v>
      </c>
      <c r="BD43" s="209">
        <f t="shared" ca="1" si="30"/>
        <v>30</v>
      </c>
      <c r="BF43" s="173" t="str">
        <f t="shared" ca="1" si="23"/>
        <v>NorthWestern Corporation</v>
      </c>
      <c r="BG43" s="173" t="str">
        <f t="shared" ca="1" si="24"/>
        <v>BBB</v>
      </c>
      <c r="BH43" s="173">
        <f t="shared" ca="1" si="25"/>
        <v>18</v>
      </c>
      <c r="BI43" s="173" t="str">
        <f t="shared" ca="1" si="26"/>
        <v>NWE</v>
      </c>
    </row>
    <row r="44" spans="1:61" ht="13.9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9"/>
        <v>R</v>
      </c>
      <c r="F44" s="365"/>
      <c r="G44" s="366">
        <f t="shared" ca="1" si="1"/>
        <v>35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8"/>
        <v>14</v>
      </c>
      <c r="AW44" s="168">
        <f>COUNTIF( AV$7:AV44, AV44 )</f>
        <v>14</v>
      </c>
      <c r="AX44" s="208">
        <f t="shared" si="22"/>
        <v>15.4</v>
      </c>
      <c r="AY44" s="168">
        <f t="shared" si="29"/>
        <v>27</v>
      </c>
      <c r="AZ44" s="169"/>
      <c r="BA44" s="169"/>
      <c r="BC44" s="168">
        <f t="shared" ca="1" si="27"/>
        <v>38</v>
      </c>
      <c r="BD44" s="209">
        <f t="shared" ca="1" si="30"/>
        <v>32</v>
      </c>
      <c r="BF44" s="173" t="str">
        <f t="shared" ca="1" si="23"/>
        <v>Otter Tail Corporation</v>
      </c>
      <c r="BG44" s="173" t="str">
        <f t="shared" ca="1" si="24"/>
        <v>BBB</v>
      </c>
      <c r="BH44" s="173">
        <f t="shared" ca="1" si="25"/>
        <v>18</v>
      </c>
      <c r="BI44" s="173" t="str">
        <f t="shared" ca="1" si="26"/>
        <v>OTTR</v>
      </c>
    </row>
    <row r="45" spans="1:61" ht="13.9">
      <c r="A45" s="223" t="s">
        <v>303</v>
      </c>
      <c r="B45" s="224" t="s">
        <v>141</v>
      </c>
      <c r="C45" s="224">
        <v>18</v>
      </c>
      <c r="D45" s="224" t="s">
        <v>304</v>
      </c>
      <c r="E45" s="225" t="str">
        <f t="shared" ca="1" si="9"/>
        <v>R</v>
      </c>
      <c r="F45" s="365"/>
      <c r="G45" s="366">
        <f t="shared" ca="1" si="1"/>
        <v>38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>
        <f t="shared" ca="1" si="19"/>
        <v>1</v>
      </c>
      <c r="AJ45" s="169">
        <f t="shared" ca="1" si="20"/>
        <v>33</v>
      </c>
      <c r="AK45" s="169" t="str">
        <f t="shared" ca="1" si="21"/>
        <v>BBB+</v>
      </c>
      <c r="AL45" s="169">
        <f t="shared" ca="1" si="21"/>
        <v>19</v>
      </c>
      <c r="AM45" s="169" t="str">
        <f t="shared" ca="1" si="4"/>
        <v>Change</v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8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9"/>
        <v>42</v>
      </c>
      <c r="AZ45" s="169"/>
      <c r="BA45" s="169"/>
      <c r="BC45" s="168">
        <f t="shared" ca="1" si="27"/>
        <v>39</v>
      </c>
      <c r="BD45" s="209">
        <f t="shared" ca="1" si="30"/>
        <v>35</v>
      </c>
      <c r="BF45" s="173" t="str">
        <f t="shared" ca="1" si="23"/>
        <v>PNM Resources, Inc.</v>
      </c>
      <c r="BG45" s="173" t="str">
        <f t="shared" ca="1" si="24"/>
        <v>BBB</v>
      </c>
      <c r="BH45" s="173">
        <f t="shared" ca="1" si="25"/>
        <v>18</v>
      </c>
      <c r="BI45" s="173" t="str">
        <f t="shared" ca="1" si="26"/>
        <v>PNM</v>
      </c>
    </row>
    <row r="46" spans="1:61" ht="13.9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9"/>
        <v>R</v>
      </c>
      <c r="F46" s="365"/>
      <c r="G46" s="366">
        <f t="shared" ca="1" si="1"/>
        <v>53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8"/>
        <v>14</v>
      </c>
      <c r="AW46" s="168">
        <f>COUNTIF( AV$7:AV46, AV46 )</f>
        <v>15</v>
      </c>
      <c r="AX46" s="208">
        <f t="shared" si="22"/>
        <v>15.5</v>
      </c>
      <c r="AY46" s="168">
        <f t="shared" si="29"/>
        <v>28</v>
      </c>
      <c r="AZ46" s="169"/>
      <c r="BA46" s="169"/>
      <c r="BC46" s="168">
        <f t="shared" ca="1" si="27"/>
        <v>40</v>
      </c>
      <c r="BD46" s="209">
        <f t="shared" ca="1" si="30"/>
        <v>10</v>
      </c>
      <c r="BF46" s="173" t="str">
        <f t="shared" ca="1" si="23"/>
        <v>Cleco Corporation</v>
      </c>
      <c r="BG46" s="173" t="str">
        <f t="shared" ca="1" si="24"/>
        <v>BBB-</v>
      </c>
      <c r="BH46" s="173">
        <f t="shared" ca="1" si="25"/>
        <v>17</v>
      </c>
      <c r="BI46" s="173" t="str">
        <f t="shared" ca="1" si="26"/>
        <v>**CNL</v>
      </c>
    </row>
    <row r="47" spans="1:61" ht="13.9">
      <c r="A47" s="223" t="s">
        <v>279</v>
      </c>
      <c r="B47" s="224" t="s">
        <v>142</v>
      </c>
      <c r="C47" s="224">
        <v>17</v>
      </c>
      <c r="D47" s="224" t="s">
        <v>280</v>
      </c>
      <c r="E47" s="225" t="str">
        <f t="shared" ca="1" si="9"/>
        <v>MR</v>
      </c>
      <c r="F47" s="365"/>
      <c r="G47" s="366">
        <f t="shared" ca="1" si="1"/>
        <v>27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8"/>
        <v>2</v>
      </c>
      <c r="AW47" s="168">
        <f>COUNTIF( AV$7:AV47, AV47 )</f>
        <v>10</v>
      </c>
      <c r="AX47" s="208">
        <f t="shared" si="22"/>
        <v>3</v>
      </c>
      <c r="AY47" s="168">
        <f t="shared" si="29"/>
        <v>11</v>
      </c>
      <c r="AZ47" s="169"/>
      <c r="BA47" s="169"/>
      <c r="BC47" s="168">
        <f t="shared" ca="1" si="27"/>
        <v>41</v>
      </c>
      <c r="BD47" s="209">
        <f t="shared" ca="1" si="30"/>
        <v>24</v>
      </c>
      <c r="BF47" s="173" t="str">
        <f t="shared" ca="1" si="23"/>
        <v>Hawaiian Electric Industries, Inc.</v>
      </c>
      <c r="BG47" s="173" t="str">
        <f t="shared" ca="1" si="24"/>
        <v>BBB-</v>
      </c>
      <c r="BH47" s="173">
        <f t="shared" ca="1" si="25"/>
        <v>17</v>
      </c>
      <c r="BI47" s="173" t="str">
        <f t="shared" ca="1" si="26"/>
        <v>HE</v>
      </c>
    </row>
    <row r="48" spans="1:61" ht="13.9">
      <c r="A48" s="223" t="s">
        <v>305</v>
      </c>
      <c r="B48" s="224" t="s">
        <v>142</v>
      </c>
      <c r="C48" s="224">
        <v>17</v>
      </c>
      <c r="D48" s="224" t="s">
        <v>306</v>
      </c>
      <c r="E48" s="225" t="str">
        <f t="shared" ca="1" si="9"/>
        <v>R</v>
      </c>
      <c r="F48" s="365"/>
      <c r="G48" s="366">
        <f t="shared" ca="1" si="1"/>
        <v>57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BBB-</v>
      </c>
      <c r="AL48" s="169">
        <f t="shared" ca="1" si="21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8"/>
        <v>14</v>
      </c>
      <c r="AW48" s="168">
        <f>COUNTIF( AV$7:AV48, AV48 )</f>
        <v>16</v>
      </c>
      <c r="AX48" s="208">
        <f t="shared" si="22"/>
        <v>15.6</v>
      </c>
      <c r="AY48" s="168">
        <f t="shared" si="29"/>
        <v>29</v>
      </c>
      <c r="AZ48" s="169"/>
      <c r="BA48" s="169"/>
      <c r="BC48" s="168">
        <f t="shared" ca="1" si="27"/>
        <v>42</v>
      </c>
      <c r="BD48" s="209">
        <f t="shared" ca="1" si="30"/>
        <v>39</v>
      </c>
      <c r="BF48" s="173" t="str">
        <f t="shared" ca="1" si="23"/>
        <v>Puget Energy, Inc.</v>
      </c>
      <c r="BG48" s="173" t="str">
        <f t="shared" ca="1" si="24"/>
        <v>BBB-</v>
      </c>
      <c r="BH48" s="173">
        <f t="shared" ca="1" si="25"/>
        <v>17</v>
      </c>
      <c r="BI48" s="173" t="str">
        <f t="shared" ca="1" si="26"/>
        <v>**PSD</v>
      </c>
    </row>
    <row r="49" spans="1:61" ht="13.9">
      <c r="A49" s="223" t="s">
        <v>259</v>
      </c>
      <c r="B49" s="224" t="s">
        <v>175</v>
      </c>
      <c r="C49" s="224">
        <v>15</v>
      </c>
      <c r="D49" s="224" t="s">
        <v>260</v>
      </c>
      <c r="E49" s="225" t="str">
        <f t="shared" ca="1" si="9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</v>
      </c>
      <c r="AL49" s="169">
        <f t="shared" ca="1" si="21"/>
        <v>15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8"/>
        <v>2</v>
      </c>
      <c r="AW49" s="168">
        <f>COUNTIF( AV$7:AV49, AV49 )</f>
        <v>11</v>
      </c>
      <c r="AX49" s="208">
        <f t="shared" si="22"/>
        <v>3.1</v>
      </c>
      <c r="AY49" s="168">
        <f t="shared" si="29"/>
        <v>12</v>
      </c>
      <c r="AZ49" s="169"/>
      <c r="BA49" s="169"/>
      <c r="BC49" s="168">
        <f t="shared" ca="1" si="27"/>
        <v>43</v>
      </c>
      <c r="BD49" s="209">
        <f t="shared" ca="1" si="30"/>
        <v>14</v>
      </c>
      <c r="BF49" s="173" t="str">
        <f t="shared" ca="1" si="23"/>
        <v>DPL Inc.</v>
      </c>
      <c r="BG49" s="173" t="str">
        <f t="shared" ca="1" si="24"/>
        <v>BB</v>
      </c>
      <c r="BH49" s="173">
        <f t="shared" ca="1" si="25"/>
        <v>15</v>
      </c>
      <c r="BI49" s="173" t="str">
        <f t="shared" ca="1" si="26"/>
        <v>**DPL</v>
      </c>
    </row>
    <row r="50" spans="1:61" ht="13.9">
      <c r="A50" s="223" t="s">
        <v>301</v>
      </c>
      <c r="B50" s="224" t="s">
        <v>177</v>
      </c>
      <c r="C50" s="224">
        <v>14</v>
      </c>
      <c r="D50" s="224" t="s">
        <v>302</v>
      </c>
      <c r="E50" s="225" t="str">
        <f t="shared" ca="1" si="9"/>
        <v>R</v>
      </c>
      <c r="F50" s="365"/>
      <c r="G50" s="366">
        <f t="shared" ca="1" si="1"/>
        <v>36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>
        <f t="shared" ca="1" si="19"/>
        <v>1</v>
      </c>
      <c r="AJ50" s="169">
        <f t="shared" ca="1" si="20"/>
        <v>50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>Change</v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8"/>
        <v>2</v>
      </c>
      <c r="AW50" s="168">
        <f>COUNTIF( AV$7:AV50, AV50 )</f>
        <v>12</v>
      </c>
      <c r="AX50" s="208">
        <f t="shared" si="22"/>
        <v>3.2</v>
      </c>
      <c r="AY50" s="168">
        <f t="shared" si="29"/>
        <v>13</v>
      </c>
      <c r="AZ50" s="169"/>
      <c r="BA50" s="169"/>
      <c r="BC50" s="168">
        <f t="shared" ca="1" si="27"/>
        <v>44</v>
      </c>
      <c r="BD50" s="209">
        <f t="shared" ca="1" si="30"/>
        <v>33</v>
      </c>
      <c r="BF50" s="173" t="str">
        <f t="shared" ca="1" si="23"/>
        <v>PG&amp;E Corporation</v>
      </c>
      <c r="BG50" s="173" t="str">
        <f t="shared" ca="1" si="24"/>
        <v>BB-</v>
      </c>
      <c r="BH50" s="173">
        <f t="shared" ca="1" si="25"/>
        <v>14</v>
      </c>
      <c r="BI50" s="173" t="str">
        <f t="shared" ca="1" si="26"/>
        <v>PCG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si="28"/>
        <v>99</v>
      </c>
      <c r="AW51" s="168">
        <f>COUNTIF( AV$7:AV51, AV51 )</f>
        <v>1</v>
      </c>
      <c r="AX51" s="208">
        <f t="shared" si="22"/>
        <v>99.1</v>
      </c>
      <c r="AY51" s="168">
        <f t="shared" si="29"/>
        <v>45</v>
      </c>
      <c r="AZ51" s="169"/>
      <c r="BA51" s="169"/>
      <c r="BC51" s="168">
        <f t="shared" ca="1" si="27"/>
        <v>45</v>
      </c>
      <c r="BD51" s="209">
        <f t="shared" ca="1" si="30"/>
        <v>45</v>
      </c>
      <c r="BF51" s="173">
        <f t="shared" ref="BF51:BI63" ca="1" si="31">OFFSET( AQ$6, $BD52, 0 )</f>
        <v>0</v>
      </c>
      <c r="BG51" s="173">
        <f t="shared" ca="1" si="31"/>
        <v>0</v>
      </c>
      <c r="BH51" s="173">
        <f t="shared" ca="1" si="31"/>
        <v>0</v>
      </c>
      <c r="BI51" s="173">
        <f t="shared" ca="1" si="31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8"/>
        <v>99</v>
      </c>
      <c r="AW52" s="168">
        <f>COUNTIF( AV$7:AV52, AV52 )</f>
        <v>2</v>
      </c>
      <c r="AX52" s="208">
        <f t="shared" si="22"/>
        <v>99.2</v>
      </c>
      <c r="AY52" s="168">
        <f t="shared" si="29"/>
        <v>46</v>
      </c>
      <c r="AZ52" s="169"/>
      <c r="BA52" s="169"/>
      <c r="BC52" s="168">
        <f t="shared" ca="1" si="27"/>
        <v>46</v>
      </c>
      <c r="BD52" s="209">
        <f t="shared" ca="1" si="30"/>
        <v>46</v>
      </c>
      <c r="BF52" s="173">
        <f t="shared" ca="1" si="31"/>
        <v>0</v>
      </c>
      <c r="BG52" s="173">
        <f t="shared" ca="1" si="31"/>
        <v>0</v>
      </c>
      <c r="BH52" s="173">
        <f t="shared" ca="1" si="31"/>
        <v>0</v>
      </c>
      <c r="BI52" s="173">
        <f t="shared" ca="1" si="31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8"/>
        <v>99</v>
      </c>
      <c r="AW53" s="168">
        <f>COUNTIF( AV$7:AV53, AV53 )</f>
        <v>3</v>
      </c>
      <c r="AX53" s="208">
        <f t="shared" si="22"/>
        <v>99.3</v>
      </c>
      <c r="AY53" s="168">
        <f t="shared" si="29"/>
        <v>47</v>
      </c>
      <c r="AZ53" s="169"/>
      <c r="BA53" s="169"/>
      <c r="BC53" s="168">
        <f t="shared" ca="1" si="27"/>
        <v>47</v>
      </c>
      <c r="BD53" s="209">
        <f t="shared" ca="1" si="30"/>
        <v>47</v>
      </c>
      <c r="BF53" s="173">
        <f t="shared" ca="1" si="31"/>
        <v>0</v>
      </c>
      <c r="BG53" s="173">
        <f t="shared" ca="1" si="31"/>
        <v>0</v>
      </c>
      <c r="BH53" s="173">
        <f t="shared" ca="1" si="31"/>
        <v>0</v>
      </c>
      <c r="BI53" s="173">
        <f t="shared" ca="1" si="31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8"/>
        <v>99</v>
      </c>
      <c r="AW54" s="168">
        <f>COUNTIF( AV$7:AV54, AV54 )</f>
        <v>4</v>
      </c>
      <c r="AX54" s="208">
        <f t="shared" si="22"/>
        <v>99.4</v>
      </c>
      <c r="AY54" s="168">
        <f t="shared" si="29"/>
        <v>48</v>
      </c>
      <c r="AZ54" s="169"/>
      <c r="BA54" s="169"/>
      <c r="BC54" s="168">
        <f t="shared" ca="1" si="27"/>
        <v>48</v>
      </c>
      <c r="BD54" s="209">
        <f t="shared" ca="1" si="30"/>
        <v>48</v>
      </c>
      <c r="BF54" s="173">
        <f t="shared" ca="1" si="31"/>
        <v>0</v>
      </c>
      <c r="BG54" s="173">
        <f t="shared" ca="1" si="31"/>
        <v>0</v>
      </c>
      <c r="BH54" s="173">
        <f t="shared" ca="1" si="31"/>
        <v>0</v>
      </c>
      <c r="BI54" s="173">
        <f t="shared" ca="1" si="31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8"/>
        <v>99</v>
      </c>
      <c r="AW55" s="168">
        <f>COUNTIF( AV$7:AV55, AV55 )</f>
        <v>5</v>
      </c>
      <c r="AX55" s="208">
        <f t="shared" si="22"/>
        <v>99.5</v>
      </c>
      <c r="AY55" s="168">
        <f t="shared" si="29"/>
        <v>49</v>
      </c>
      <c r="AZ55" s="169"/>
      <c r="BA55" s="169"/>
      <c r="BC55" s="168">
        <f t="shared" ca="1" si="27"/>
        <v>49</v>
      </c>
      <c r="BD55" s="209">
        <f t="shared" ca="1" si="30"/>
        <v>49</v>
      </c>
      <c r="BF55" s="173">
        <f t="shared" ca="1" si="31"/>
        <v>0</v>
      </c>
      <c r="BG55" s="173">
        <f t="shared" ca="1" si="31"/>
        <v>0</v>
      </c>
      <c r="BH55" s="173">
        <f t="shared" ca="1" si="31"/>
        <v>0</v>
      </c>
      <c r="BI55" s="173">
        <f t="shared" ca="1" si="31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8"/>
        <v>99</v>
      </c>
      <c r="AW56" s="168">
        <f>COUNTIF( AV$7:AV56, AV56 )</f>
        <v>6</v>
      </c>
      <c r="AX56" s="208">
        <f t="shared" si="22"/>
        <v>99.6</v>
      </c>
      <c r="AY56" s="168">
        <f t="shared" si="29"/>
        <v>50</v>
      </c>
      <c r="AZ56" s="169"/>
      <c r="BA56" s="169"/>
      <c r="BC56" s="168">
        <f t="shared" ca="1" si="27"/>
        <v>50</v>
      </c>
      <c r="BD56" s="209">
        <f t="shared" ca="1" si="30"/>
        <v>50</v>
      </c>
      <c r="BF56" s="173">
        <f t="shared" ca="1" si="31"/>
        <v>0</v>
      </c>
      <c r="BG56" s="173">
        <f t="shared" ca="1" si="31"/>
        <v>0</v>
      </c>
      <c r="BH56" s="173">
        <f t="shared" ca="1" si="31"/>
        <v>0</v>
      </c>
      <c r="BI56" s="173">
        <f t="shared" ca="1" si="31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8"/>
        <v>99</v>
      </c>
      <c r="AW57" s="168">
        <f>COUNTIF( AV$7:AV57, AV57 )</f>
        <v>7</v>
      </c>
      <c r="AX57" s="208">
        <f t="shared" si="22"/>
        <v>99.7</v>
      </c>
      <c r="AY57" s="168">
        <f t="shared" si="29"/>
        <v>51</v>
      </c>
      <c r="AZ57" s="169"/>
      <c r="BA57" s="169"/>
      <c r="BC57" s="168">
        <f t="shared" ca="1" si="27"/>
        <v>51</v>
      </c>
      <c r="BD57" s="209">
        <f t="shared" ca="1" si="30"/>
        <v>51</v>
      </c>
      <c r="BF57" s="173">
        <f t="shared" ca="1" si="31"/>
        <v>0</v>
      </c>
      <c r="BG57" s="173">
        <f t="shared" ca="1" si="31"/>
        <v>0</v>
      </c>
      <c r="BH57" s="173">
        <f t="shared" ca="1" si="31"/>
        <v>0</v>
      </c>
      <c r="BI57" s="173">
        <f t="shared" ca="1" si="31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8"/>
        <v>99</v>
      </c>
      <c r="AW58" s="168">
        <f>COUNTIF( AV$7:AV58, AV58 )</f>
        <v>8</v>
      </c>
      <c r="AX58" s="208">
        <f t="shared" si="22"/>
        <v>99.8</v>
      </c>
      <c r="AY58" s="168">
        <f t="shared" si="29"/>
        <v>52</v>
      </c>
      <c r="AZ58" s="169"/>
      <c r="BA58" s="169"/>
      <c r="BC58" s="168">
        <f t="shared" ca="1" si="27"/>
        <v>52</v>
      </c>
      <c r="BD58" s="209">
        <f t="shared" ca="1" si="30"/>
        <v>52</v>
      </c>
      <c r="BF58" s="173">
        <f t="shared" ca="1" si="31"/>
        <v>0</v>
      </c>
      <c r="BG58" s="173">
        <f t="shared" ca="1" si="31"/>
        <v>0</v>
      </c>
      <c r="BH58" s="173">
        <f t="shared" ca="1" si="31"/>
        <v>0</v>
      </c>
      <c r="BI58" s="173">
        <f t="shared" ca="1" si="31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8"/>
        <v>99</v>
      </c>
      <c r="AW59" s="168">
        <f>COUNTIF( AV$7:AV59, AV59 )</f>
        <v>9</v>
      </c>
      <c r="AX59" s="208">
        <f t="shared" si="22"/>
        <v>99.9</v>
      </c>
      <c r="AY59" s="168">
        <f t="shared" si="29"/>
        <v>53</v>
      </c>
      <c r="AZ59" s="169"/>
      <c r="BA59" s="169"/>
      <c r="BC59" s="168">
        <f t="shared" ca="1" si="27"/>
        <v>53</v>
      </c>
      <c r="BD59" s="209">
        <f t="shared" ca="1" si="30"/>
        <v>53</v>
      </c>
      <c r="BF59" s="173">
        <f t="shared" ca="1" si="31"/>
        <v>0</v>
      </c>
      <c r="BG59" s="173">
        <f t="shared" ca="1" si="31"/>
        <v>0</v>
      </c>
      <c r="BH59" s="173">
        <f t="shared" ca="1" si="31"/>
        <v>0</v>
      </c>
      <c r="BI59" s="173">
        <f t="shared" ca="1" si="31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8"/>
        <v>99</v>
      </c>
      <c r="AW60" s="168">
        <f>COUNTIF( AV$7:AV60, AV60 )</f>
        <v>10</v>
      </c>
      <c r="AX60" s="208">
        <f t="shared" si="22"/>
        <v>100</v>
      </c>
      <c r="AY60" s="168">
        <f t="shared" si="29"/>
        <v>54</v>
      </c>
      <c r="AZ60" s="169"/>
      <c r="BA60" s="169"/>
      <c r="BC60" s="168">
        <f t="shared" ca="1" si="27"/>
        <v>54</v>
      </c>
      <c r="BD60" s="209">
        <f t="shared" ca="1" si="30"/>
        <v>54</v>
      </c>
      <c r="BF60" s="173">
        <f t="shared" ca="1" si="31"/>
        <v>0</v>
      </c>
      <c r="BG60" s="173">
        <f t="shared" ca="1" si="31"/>
        <v>0</v>
      </c>
      <c r="BH60" s="173">
        <f t="shared" ca="1" si="31"/>
        <v>0</v>
      </c>
      <c r="BI60" s="173">
        <f t="shared" ca="1" si="31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8"/>
        <v>99</v>
      </c>
      <c r="AW61" s="168">
        <f>COUNTIF( AV$7:AV61, AV61 )</f>
        <v>11</v>
      </c>
      <c r="AX61" s="208">
        <f t="shared" si="22"/>
        <v>100.1</v>
      </c>
      <c r="AY61" s="168">
        <f t="shared" si="29"/>
        <v>55</v>
      </c>
      <c r="AZ61" s="169"/>
      <c r="BA61" s="169"/>
      <c r="BC61" s="168">
        <f t="shared" ca="1" si="27"/>
        <v>55</v>
      </c>
      <c r="BD61" s="209">
        <f t="shared" ca="1" si="30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8"/>
        <v>99</v>
      </c>
      <c r="AW62" s="168">
        <f>COUNTIF( AV$7:AV62, AV62 )</f>
        <v>12</v>
      </c>
      <c r="AX62" s="208">
        <f t="shared" si="22"/>
        <v>100.2</v>
      </c>
      <c r="AY62" s="168">
        <f t="shared" si="29"/>
        <v>56</v>
      </c>
      <c r="AZ62" s="169"/>
      <c r="BA62" s="169"/>
      <c r="BC62" s="168">
        <f t="shared" ca="1" si="27"/>
        <v>56</v>
      </c>
      <c r="BD62" s="209">
        <f t="shared" ca="1" si="30"/>
        <v>56</v>
      </c>
      <c r="BF62" s="173">
        <f t="shared" ca="1" si="31"/>
        <v>0</v>
      </c>
      <c r="BG62" s="173">
        <f t="shared" ca="1" si="31"/>
        <v>0</v>
      </c>
      <c r="BH62" s="173">
        <f t="shared" ca="1" si="31"/>
        <v>0</v>
      </c>
      <c r="BI62" s="173">
        <f t="shared" ca="1" si="31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28"/>
        <v>99</v>
      </c>
      <c r="AW63" s="168">
        <f>COUNTIF( AV$7:AV63, AV63 )</f>
        <v>13</v>
      </c>
      <c r="AX63" s="208">
        <f t="shared" si="22"/>
        <v>100.3</v>
      </c>
      <c r="AY63" s="168">
        <f t="shared" si="29"/>
        <v>57</v>
      </c>
      <c r="AZ63" s="169"/>
      <c r="BA63" s="169"/>
      <c r="BC63" s="168">
        <f t="shared" ca="1" si="27"/>
        <v>57</v>
      </c>
      <c r="BD63" s="209">
        <f t="shared" ca="1" si="30"/>
        <v>57</v>
      </c>
      <c r="BF63" s="173">
        <f t="shared" ca="1" si="31"/>
        <v>0</v>
      </c>
      <c r="BG63" s="173">
        <f t="shared" ca="1" si="31"/>
        <v>0</v>
      </c>
      <c r="BH63" s="173">
        <f t="shared" ca="1" si="31"/>
        <v>0</v>
      </c>
      <c r="BI63" s="173">
        <f t="shared" ca="1" si="31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>AVERAGE(C7:C65)</f>
        <v>18.844444444444445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>SUMPRODUCT( L8:L13, Y8:Y13 ) / L14</f>
        <v>18.866666666666667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-- 2020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Reg_Percent_2019</v>
      </c>
      <c r="G2" s="172" t="s">
        <v>323</v>
      </c>
      <c r="AJ2" s="173" t="str">
        <f>AJ4 &amp; AJ3</f>
        <v>'Credit_2019Q4'!d:d</v>
      </c>
      <c r="AK2" s="173" t="str">
        <f>AK4 &amp; AK3</f>
        <v>'Credit_2019Q4'!b1</v>
      </c>
      <c r="AL2" s="173" t="str">
        <f>AL4 &amp; AL3</f>
        <v>'Credit_2019Q4'!c1</v>
      </c>
      <c r="AQ2" s="169"/>
    </row>
    <row r="3" spans="1:61" ht="18" hidden="1" outlineLevel="1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'Credit_2019Q4'!</v>
      </c>
      <c r="AK4" s="169" t="str">
        <f t="shared" ref="AK4:AL4" si="0">$AQ$5</f>
        <v>'Credit_2019Q4'!</v>
      </c>
      <c r="AL4" s="169" t="str">
        <f t="shared" si="0"/>
        <v>'Credit_2019Q4'!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(34)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332</v>
      </c>
    </row>
    <row r="6" spans="1:61" ht="28.5" customHeight="1">
      <c r="A6" s="219" t="s">
        <v>212</v>
      </c>
      <c r="B6" s="220" t="s">
        <v>333</v>
      </c>
      <c r="C6" s="249" t="s">
        <v>214</v>
      </c>
      <c r="D6" s="221"/>
      <c r="E6" s="222">
        <f ca="1">INDIRECT( E3 &amp; G1 )</f>
        <v>43830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4.5454545454545456E-2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8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0.27272727272727271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0.40909090909090912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8"/>
        <v>R</v>
      </c>
      <c r="F11" s="365"/>
      <c r="G11" s="366">
        <f t="shared" ca="1" si="1"/>
        <v>19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0.18181818181818182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9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8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si="9"/>
        <v>3</v>
      </c>
      <c r="M12" s="216">
        <f t="shared" si="10"/>
        <v>6.8181818181818177E-2</v>
      </c>
      <c r="N12" s="234"/>
      <c r="O12" s="215">
        <f t="shared" ca="1" si="11"/>
        <v>2</v>
      </c>
      <c r="P12" s="216">
        <f t="shared" ca="1" si="12"/>
        <v>5.8823529411764705E-2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9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8"/>
        <v>R</v>
      </c>
      <c r="F13" s="365"/>
      <c r="G13" s="366">
        <f t="shared" ca="1" si="1"/>
        <v>24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2.2727272727272728E-2</v>
      </c>
      <c r="N13" s="235"/>
      <c r="O13" s="217">
        <f t="shared" ca="1" si="11"/>
        <v>1</v>
      </c>
      <c r="P13" s="218">
        <f t="shared" ca="1" si="12"/>
        <v>2.9411764705882353E-2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18.977272727272727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19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18.970588235294116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19.100000000000001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65"/>
      <c r="G22" s="366">
        <f t="shared" ca="1" si="1"/>
        <v>11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9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65"/>
      <c r="G23" s="366">
        <f t="shared" ca="1" si="1"/>
        <v>13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9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65"/>
      <c r="G28" s="366">
        <f t="shared" ca="1" si="1"/>
        <v>22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9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65"/>
      <c r="G29" s="366">
        <f t="shared" ca="1" si="1"/>
        <v>25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9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65"/>
      <c r="G30" s="366">
        <f t="shared" ca="1" si="1"/>
        <v>29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9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65"/>
      <c r="G31" s="366">
        <f t="shared" ca="1" si="1"/>
        <v>32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9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9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9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65"/>
      <c r="G34" s="366">
        <f t="shared" ca="1" si="1"/>
        <v>39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41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MR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44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12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65"/>
      <c r="G39" s="366">
        <f t="shared" ca="1" si="1"/>
        <v>20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310</v>
      </c>
      <c r="AS39" s="207" t="s">
        <v>310</v>
      </c>
      <c r="AT39" s="207" t="s">
        <v>302</v>
      </c>
      <c r="AV39" s="168">
        <f t="shared" si="21"/>
        <v>99</v>
      </c>
      <c r="AW39" s="168">
        <f>COUNTIF( AV$7:AV39, AV39 )</f>
        <v>1</v>
      </c>
      <c r="AX39" s="208">
        <f t="shared" si="22"/>
        <v>99.1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65"/>
      <c r="G41" s="366">
        <f t="shared" ca="1" si="1"/>
        <v>26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65"/>
      <c r="G42" s="366">
        <f t="shared" ca="1" si="1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9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65"/>
      <c r="G44" s="366">
        <f t="shared" ca="1" si="1"/>
        <v>33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9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9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65"/>
      <c r="G46" s="366">
        <f t="shared" ca="1" si="1"/>
        <v>53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9">
      <c r="A47" s="223" t="s">
        <v>279</v>
      </c>
      <c r="B47" s="224" t="s">
        <v>142</v>
      </c>
      <c r="C47" s="224">
        <v>17</v>
      </c>
      <c r="D47" s="224" t="s">
        <v>280</v>
      </c>
      <c r="E47" s="225" t="str">
        <f t="shared" ca="1" si="8"/>
        <v>MR</v>
      </c>
      <c r="F47" s="365"/>
      <c r="G47" s="366">
        <f t="shared" ca="1" si="1"/>
        <v>27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3.9">
      <c r="A48" s="223" t="s">
        <v>305</v>
      </c>
      <c r="B48" s="224" t="s">
        <v>142</v>
      </c>
      <c r="C48" s="224">
        <v>17</v>
      </c>
      <c r="D48" s="224" t="s">
        <v>306</v>
      </c>
      <c r="E48" s="225" t="str">
        <f t="shared" ca="1" si="8"/>
        <v>R</v>
      </c>
      <c r="F48" s="365"/>
      <c r="G48" s="366">
        <f t="shared" ca="1" si="1"/>
        <v>57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3.9">
      <c r="A49" s="223" t="s">
        <v>259</v>
      </c>
      <c r="B49" s="224" t="s">
        <v>175</v>
      </c>
      <c r="C49" s="224">
        <v>15</v>
      </c>
      <c r="D49" s="224" t="s">
        <v>260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</v>
      </c>
      <c r="AL49" s="169">
        <f t="shared" ca="1" si="20"/>
        <v>15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3.9">
      <c r="A50" s="223" t="s">
        <v>301</v>
      </c>
      <c r="B50" s="224" t="s">
        <v>310</v>
      </c>
      <c r="C50" s="224" t="s">
        <v>310</v>
      </c>
      <c r="D50" s="224" t="s">
        <v>302</v>
      </c>
      <c r="E50" s="225" t="str">
        <f t="shared" ca="1" si="8"/>
        <v>R</v>
      </c>
      <c r="F50" s="365"/>
      <c r="G50" s="366">
        <f t="shared" ca="1" si="1"/>
        <v>36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si="3"/>
        <v/>
      </c>
      <c r="AH50" s="169" t="str">
        <f t="shared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>Change</v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/>
      </c>
      <c r="BH50" s="173" t="str">
        <f t="shared" ca="1" si="25"/>
        <v/>
      </c>
      <c r="BI50" s="173" t="str">
        <f t="shared" ca="1" si="25"/>
        <v>PCG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2</v>
      </c>
      <c r="AX51" s="208">
        <f t="shared" si="22"/>
        <v>99.2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3</v>
      </c>
      <c r="AX52" s="208">
        <f t="shared" si="22"/>
        <v>99.3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4</v>
      </c>
      <c r="AX53" s="208">
        <f t="shared" si="22"/>
        <v>99.4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5</v>
      </c>
      <c r="AX54" s="208">
        <f t="shared" si="22"/>
        <v>99.5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6</v>
      </c>
      <c r="AX55" s="208">
        <f t="shared" si="22"/>
        <v>99.6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7</v>
      </c>
      <c r="AX56" s="208">
        <f t="shared" si="22"/>
        <v>99.7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8</v>
      </c>
      <c r="AX57" s="208">
        <f t="shared" si="22"/>
        <v>99.8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9</v>
      </c>
      <c r="AX58" s="208">
        <f t="shared" si="22"/>
        <v>99.9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10</v>
      </c>
      <c r="AX59" s="208">
        <f t="shared" si="22"/>
        <v>100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11</v>
      </c>
      <c r="AX60" s="208">
        <f t="shared" si="22"/>
        <v>100.1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12</v>
      </c>
      <c r="AX61" s="208">
        <f t="shared" si="22"/>
        <v>100.2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13</v>
      </c>
      <c r="AX62" s="208">
        <f t="shared" si="22"/>
        <v>100.3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14</v>
      </c>
      <c r="AX63" s="208">
        <f t="shared" si="22"/>
        <v>100.4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18.977272727272727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-- 2019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Reg_Percent_2018</v>
      </c>
      <c r="G2" s="172" t="s">
        <v>334</v>
      </c>
      <c r="AJ2" s="173" t="str">
        <f>AJ4 &amp; AJ3</f>
        <v>'Credit_2019Q3'!d:d</v>
      </c>
      <c r="AK2" s="173" t="str">
        <f>AK4 &amp; AK3</f>
        <v>'Credit_2019Q3'!b1</v>
      </c>
      <c r="AL2" s="173" t="str">
        <f>AL4 &amp; AL3</f>
        <v>'Credit_2019Q3'!c1</v>
      </c>
      <c r="AQ2" s="169"/>
    </row>
    <row r="3" spans="1:61" ht="18" hidden="1" outlineLevel="1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'Credit_2019Q3'!</v>
      </c>
      <c r="AK4" s="169" t="str">
        <f t="shared" ref="AK4:AL4" si="0">$AQ$5</f>
        <v>'Credit_2019Q3'!</v>
      </c>
      <c r="AL4" s="169" t="str">
        <f t="shared" si="0"/>
        <v>'Credit_2019Q3'!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(45)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335</v>
      </c>
    </row>
    <row r="6" spans="1:61" ht="28.5" customHeight="1">
      <c r="A6" s="219" t="s">
        <v>212</v>
      </c>
      <c r="B6" s="220" t="s">
        <v>336</v>
      </c>
      <c r="C6" s="249" t="s">
        <v>214</v>
      </c>
      <c r="D6" s="221"/>
      <c r="E6" s="222">
        <f ca="1">INDIRECT( E3 &amp; G1 )</f>
        <v>43465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8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8"/>
        <v>R</v>
      </c>
      <c r="F11" s="365"/>
      <c r="G11" s="366">
        <f t="shared" ca="1" si="1"/>
        <v>19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9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8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si="9"/>
        <v>3</v>
      </c>
      <c r="M12" s="216">
        <f t="shared" si="10"/>
        <v>6.6666666666666666E-2</v>
      </c>
      <c r="N12" s="234"/>
      <c r="O12" s="215">
        <f t="shared" ca="1" si="11"/>
        <v>2</v>
      </c>
      <c r="P12" s="216">
        <f t="shared" ca="1" si="12"/>
        <v>5.7142857142857141E-2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9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8"/>
        <v>R</v>
      </c>
      <c r="F13" s="365"/>
      <c r="G13" s="366">
        <f t="shared" ca="1" si="1"/>
        <v>24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4.4444444444444446E-2</v>
      </c>
      <c r="N13" s="235"/>
      <c r="O13" s="217">
        <f t="shared" ca="1" si="11"/>
        <v>2</v>
      </c>
      <c r="P13" s="218">
        <f t="shared" ca="1" si="12"/>
        <v>5.7142857142857141E-2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18.911111111111111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18.644444444444446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18.514285714285716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19.100000000000001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65"/>
      <c r="G22" s="366">
        <f t="shared" ca="1" si="1"/>
        <v>11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9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65"/>
      <c r="G23" s="366">
        <f t="shared" ca="1" si="1"/>
        <v>13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9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65"/>
      <c r="G28" s="366">
        <f t="shared" ca="1" si="1"/>
        <v>22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9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65"/>
      <c r="G29" s="366">
        <f t="shared" ca="1" si="1"/>
        <v>25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9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65"/>
      <c r="G30" s="366">
        <f t="shared" ca="1" si="1"/>
        <v>29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9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65"/>
      <c r="G31" s="366">
        <f t="shared" ca="1" si="1"/>
        <v>32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9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9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9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65"/>
      <c r="G34" s="366">
        <f t="shared" ca="1" si="1"/>
        <v>39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41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44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12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65"/>
      <c r="G39" s="366">
        <f t="shared" ca="1" si="1"/>
        <v>20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65"/>
      <c r="G41" s="366">
        <f t="shared" ca="1" si="1"/>
        <v>26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65"/>
      <c r="G42" s="366">
        <f t="shared" ca="1" si="1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9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65"/>
      <c r="G44" s="366">
        <f t="shared" ca="1" si="1"/>
        <v>33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9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9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65"/>
      <c r="G46" s="366">
        <f t="shared" ca="1" si="1"/>
        <v>53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9">
      <c r="A47" s="223" t="s">
        <v>279</v>
      </c>
      <c r="B47" s="224" t="s">
        <v>142</v>
      </c>
      <c r="C47" s="224">
        <v>17</v>
      </c>
      <c r="D47" s="224" t="s">
        <v>280</v>
      </c>
      <c r="E47" s="225" t="str">
        <f t="shared" ca="1" si="8"/>
        <v>MR</v>
      </c>
      <c r="F47" s="365"/>
      <c r="G47" s="366">
        <f t="shared" ca="1" si="1"/>
        <v>27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3.9">
      <c r="A48" s="223" t="s">
        <v>305</v>
      </c>
      <c r="B48" s="224" t="s">
        <v>142</v>
      </c>
      <c r="C48" s="224">
        <v>17</v>
      </c>
      <c r="D48" s="224" t="s">
        <v>306</v>
      </c>
      <c r="E48" s="225" t="str">
        <f t="shared" ca="1" si="8"/>
        <v>R</v>
      </c>
      <c r="F48" s="365"/>
      <c r="G48" s="366">
        <f t="shared" ca="1" si="1"/>
        <v>57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3.9">
      <c r="A49" s="223" t="s">
        <v>259</v>
      </c>
      <c r="B49" s="224" t="s">
        <v>175</v>
      </c>
      <c r="C49" s="224">
        <v>15</v>
      </c>
      <c r="D49" s="224" t="s">
        <v>260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>
        <f t="shared" ca="1" si="18"/>
        <v>1</v>
      </c>
      <c r="AJ49" s="169">
        <f t="shared" ca="1" si="19"/>
        <v>47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>Change</v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3.9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65"/>
      <c r="G50" s="366">
        <f t="shared" ca="1" si="1"/>
        <v>36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18.644444444444446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18.911111111111111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-- 2019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Reg_Percent_2018</v>
      </c>
      <c r="G2" s="172" t="s">
        <v>334</v>
      </c>
      <c r="AJ2" s="173" t="str">
        <f>AJ4 &amp; AJ3</f>
        <v>'Credit_2019Q2'!d:d</v>
      </c>
      <c r="AK2" s="173" t="str">
        <f>AK4 &amp; AK3</f>
        <v>'Credit_2019Q2'!b1</v>
      </c>
      <c r="AL2" s="173" t="str">
        <f>AL4 &amp; AL3</f>
        <v>'Credit_2019Q2'!c1</v>
      </c>
      <c r="AQ2" s="169"/>
    </row>
    <row r="3" spans="1:61" ht="18" hidden="1" outlineLevel="1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'Credit_2019Q2'!</v>
      </c>
      <c r="AK4" s="169" t="str">
        <f t="shared" ref="AK4:AL4" si="0">$AQ$5</f>
        <v>'Credit_2019Q2'!</v>
      </c>
      <c r="AL4" s="169" t="str">
        <f t="shared" si="0"/>
        <v>'Credit_2019Q2'!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(45)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337</v>
      </c>
    </row>
    <row r="6" spans="1:61" ht="28.5" customHeight="1">
      <c r="A6" s="219" t="s">
        <v>212</v>
      </c>
      <c r="B6" s="220" t="s">
        <v>338</v>
      </c>
      <c r="C6" s="249" t="s">
        <v>214</v>
      </c>
      <c r="D6" s="221"/>
      <c r="E6" s="222">
        <f ca="1">INDIRECT( E3 &amp; G1 )</f>
        <v>43465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8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8"/>
        <v>R</v>
      </c>
      <c r="F11" s="365"/>
      <c r="G11" s="366">
        <f t="shared" ca="1" si="1"/>
        <v>19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9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8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9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8"/>
        <v>R</v>
      </c>
      <c r="F13" s="365"/>
      <c r="G13" s="366">
        <f t="shared" ca="1" si="1"/>
        <v>24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>
        <f t="shared" ca="1" si="18"/>
        <v>1</v>
      </c>
      <c r="AJ13" s="169">
        <f t="shared" ca="1" si="19"/>
        <v>7</v>
      </c>
      <c r="AK13" s="169" t="str">
        <f t="shared" ca="1" si="20"/>
        <v>A+</v>
      </c>
      <c r="AL13" s="169">
        <f t="shared" ca="1" si="20"/>
        <v>22</v>
      </c>
      <c r="AM13" s="169" t="str">
        <f t="shared" ca="1" si="4"/>
        <v>Change</v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18.933333333333334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18.68888888888889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18.571428571428573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19.100000000000001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65"/>
      <c r="G22" s="366">
        <f t="shared" ca="1" si="1"/>
        <v>11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9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65"/>
      <c r="G23" s="366">
        <f t="shared" ca="1" si="1"/>
        <v>13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9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65"/>
      <c r="G28" s="366">
        <f t="shared" ca="1" si="1"/>
        <v>22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9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65"/>
      <c r="G29" s="366">
        <f t="shared" ca="1" si="1"/>
        <v>25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9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65"/>
      <c r="G30" s="366">
        <f t="shared" ca="1" si="1"/>
        <v>29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9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65"/>
      <c r="G31" s="366">
        <f t="shared" ca="1" si="1"/>
        <v>32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9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9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9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65"/>
      <c r="G34" s="366">
        <f t="shared" ca="1" si="1"/>
        <v>39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41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44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12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65"/>
      <c r="G39" s="366">
        <f t="shared" ca="1" si="1"/>
        <v>20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65"/>
      <c r="G41" s="366">
        <f t="shared" ca="1" si="1"/>
        <v>26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65"/>
      <c r="G42" s="366">
        <f t="shared" ca="1" si="1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9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65"/>
      <c r="G44" s="366">
        <f t="shared" ca="1" si="1"/>
        <v>33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9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9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65"/>
      <c r="G46" s="366">
        <f t="shared" ca="1" si="1"/>
        <v>53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9">
      <c r="A47" s="223" t="s">
        <v>259</v>
      </c>
      <c r="B47" s="224" t="s">
        <v>142</v>
      </c>
      <c r="C47" s="224">
        <v>17</v>
      </c>
      <c r="D47" s="224" t="s">
        <v>260</v>
      </c>
      <c r="E47" s="225" t="str">
        <f t="shared" ca="1" si="8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9">
      <c r="A48" s="223" t="s">
        <v>279</v>
      </c>
      <c r="B48" s="224" t="s">
        <v>142</v>
      </c>
      <c r="C48" s="224">
        <v>17</v>
      </c>
      <c r="D48" s="224" t="s">
        <v>280</v>
      </c>
      <c r="E48" s="225" t="str">
        <f t="shared" ca="1" si="8"/>
        <v>MR</v>
      </c>
      <c r="F48" s="365"/>
      <c r="G48" s="366">
        <f t="shared" ca="1" si="1"/>
        <v>27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9">
      <c r="A49" s="223" t="s">
        <v>305</v>
      </c>
      <c r="B49" s="224" t="s">
        <v>142</v>
      </c>
      <c r="C49" s="224">
        <v>17</v>
      </c>
      <c r="D49" s="224" t="s">
        <v>306</v>
      </c>
      <c r="E49" s="225" t="str">
        <f t="shared" ca="1" si="8"/>
        <v>R</v>
      </c>
      <c r="F49" s="365"/>
      <c r="G49" s="366">
        <f t="shared" ca="1" si="1"/>
        <v>57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9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65"/>
      <c r="G50" s="366">
        <f t="shared" ca="1" si="1"/>
        <v>36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18.68888888888889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18.933333333333334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-- 2019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Reg_Percent_2018</v>
      </c>
      <c r="G2" s="172" t="s">
        <v>334</v>
      </c>
      <c r="AJ2" s="173" t="str">
        <f>AJ4 &amp; AJ3</f>
        <v>'Credit_2019Q1'!d:d</v>
      </c>
      <c r="AK2" s="173" t="str">
        <f>AK4 &amp; AK3</f>
        <v>'Credit_2019Q1'!b1</v>
      </c>
      <c r="AL2" s="173" t="str">
        <f>AL4 &amp; AL3</f>
        <v>'Credit_2019Q1'!c1</v>
      </c>
      <c r="AQ2" s="169"/>
    </row>
    <row r="3" spans="1:61" ht="18" hidden="1" outlineLevel="1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'Credit_2019Q1'!</v>
      </c>
      <c r="AK4" s="169" t="str">
        <f t="shared" ref="AK4:AL4" si="0">$AQ$5</f>
        <v>'Credit_2019Q1'!</v>
      </c>
      <c r="AL4" s="169" t="str">
        <f t="shared" si="0"/>
        <v>'Credit_2019Q1'!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(45)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339</v>
      </c>
    </row>
    <row r="6" spans="1:61" ht="28.5" customHeight="1">
      <c r="A6" s="219" t="s">
        <v>212</v>
      </c>
      <c r="B6" s="220" t="s">
        <v>340</v>
      </c>
      <c r="C6" s="249" t="s">
        <v>214</v>
      </c>
      <c r="D6" s="221"/>
      <c r="E6" s="222">
        <f ca="1">INDIRECT( E3 &amp; G1 )</f>
        <v>43465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65"/>
      <c r="G8" s="366">
        <f t="shared" ca="1" si="1"/>
        <v>56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11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16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19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230</v>
      </c>
      <c r="B13" s="224" t="s">
        <v>139</v>
      </c>
      <c r="C13" s="224">
        <v>20</v>
      </c>
      <c r="D13" s="224" t="s">
        <v>231</v>
      </c>
      <c r="E13" s="225" t="str">
        <f t="shared" ca="1" si="8"/>
        <v>R</v>
      </c>
      <c r="F13" s="365"/>
      <c r="G13" s="366">
        <f t="shared" ca="1" si="1"/>
        <v>23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18.733333333333334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18.62857142857143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19.100000000000001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65"/>
      <c r="G22" s="366">
        <f t="shared" ca="1" si="1"/>
        <v>11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9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65"/>
      <c r="G23" s="366">
        <f t="shared" ca="1" si="1"/>
        <v>13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9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65"/>
      <c r="G28" s="366">
        <f t="shared" ca="1" si="1"/>
        <v>22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9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65"/>
      <c r="G29" s="366">
        <f t="shared" ca="1" si="1"/>
        <v>25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9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65"/>
      <c r="G30" s="366">
        <f t="shared" ca="1" si="1"/>
        <v>29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9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65"/>
      <c r="G31" s="366">
        <f t="shared" ca="1" si="1"/>
        <v>32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9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9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9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65"/>
      <c r="G34" s="366">
        <f t="shared" ca="1" si="1"/>
        <v>39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41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44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12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65"/>
      <c r="G39" s="366">
        <f t="shared" ca="1" si="1"/>
        <v>20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65"/>
      <c r="G41" s="366">
        <f t="shared" ca="1" si="1"/>
        <v>26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65"/>
      <c r="G42" s="366">
        <f t="shared" ca="1" si="1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9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65"/>
      <c r="G44" s="366">
        <f t="shared" ca="1" si="1"/>
        <v>33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9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9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65"/>
      <c r="G46" s="366">
        <f t="shared" ca="1" si="1"/>
        <v>53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9">
      <c r="A47" s="223" t="s">
        <v>259</v>
      </c>
      <c r="B47" s="224" t="s">
        <v>142</v>
      </c>
      <c r="C47" s="224">
        <v>17</v>
      </c>
      <c r="D47" s="224" t="s">
        <v>260</v>
      </c>
      <c r="E47" s="225" t="str">
        <f t="shared" ca="1" si="8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9">
      <c r="A48" s="223" t="s">
        <v>279</v>
      </c>
      <c r="B48" s="224" t="s">
        <v>142</v>
      </c>
      <c r="C48" s="224">
        <v>17</v>
      </c>
      <c r="D48" s="224" t="s">
        <v>280</v>
      </c>
      <c r="E48" s="225" t="str">
        <f t="shared" ca="1" si="8"/>
        <v>MR</v>
      </c>
      <c r="F48" s="365"/>
      <c r="G48" s="366">
        <f t="shared" ca="1" si="1"/>
        <v>27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9">
      <c r="A49" s="223" t="s">
        <v>305</v>
      </c>
      <c r="B49" s="224" t="s">
        <v>142</v>
      </c>
      <c r="C49" s="224">
        <v>17</v>
      </c>
      <c r="D49" s="224" t="s">
        <v>306</v>
      </c>
      <c r="E49" s="225" t="str">
        <f t="shared" ca="1" si="8"/>
        <v>R</v>
      </c>
      <c r="F49" s="365"/>
      <c r="G49" s="366">
        <f t="shared" ca="1" si="1"/>
        <v>57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9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65"/>
      <c r="G50" s="366">
        <f t="shared" ca="1" si="1"/>
        <v>36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18.955555555555556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-- 2019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Reg_Percent_2018</v>
      </c>
      <c r="G2" s="172" t="s">
        <v>334</v>
      </c>
      <c r="AJ2" s="173" t="str">
        <f>AJ4 &amp; AJ3</f>
        <v>'Credit_2018Q4'!d:d</v>
      </c>
      <c r="AK2" s="173" t="str">
        <f>AK4 &amp; AK3</f>
        <v>'Credit_2018Q4'!b1</v>
      </c>
      <c r="AL2" s="173" t="str">
        <f>AL4 &amp; AL3</f>
        <v>'Credit_2018Q4'!c1</v>
      </c>
      <c r="AQ2" s="169"/>
    </row>
    <row r="3" spans="1:61" ht="18" hidden="1" outlineLevel="1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'Credit_2018Q4'!</v>
      </c>
      <c r="AK4" s="169" t="str">
        <f t="shared" ref="AK4:AL4" si="0">$AQ$5</f>
        <v>'Credit_2018Q4'!</v>
      </c>
      <c r="AL4" s="169" t="str">
        <f t="shared" si="0"/>
        <v>'Credit_2018Q4'!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(45)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(10)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341</v>
      </c>
    </row>
    <row r="6" spans="1:61" ht="28.5" customHeight="1">
      <c r="A6" s="219" t="s">
        <v>212</v>
      </c>
      <c r="B6" s="220" t="s">
        <v>342</v>
      </c>
      <c r="C6" s="249" t="s">
        <v>214</v>
      </c>
      <c r="D6" s="221"/>
      <c r="E6" s="222">
        <f ca="1">INDIRECT( E3 &amp; G1 )</f>
        <v>43465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65"/>
      <c r="G8" s="366">
        <f t="shared" ca="1" si="1"/>
        <v>56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11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16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19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230</v>
      </c>
      <c r="B13" s="224" t="s">
        <v>139</v>
      </c>
      <c r="C13" s="224">
        <v>20</v>
      </c>
      <c r="D13" s="224" t="s">
        <v>231</v>
      </c>
      <c r="E13" s="225" t="str">
        <f t="shared" ca="1" si="8"/>
        <v>R</v>
      </c>
      <c r="F13" s="365"/>
      <c r="G13" s="366">
        <f t="shared" ca="1" si="1"/>
        <v>23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18.733333333333334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18.62857142857143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19.100000000000001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20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21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22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23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65"/>
      <c r="G22" s="366">
        <f t="shared" ca="1" si="1"/>
        <v>11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24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9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65"/>
      <c r="G23" s="366">
        <f t="shared" ca="1" si="1"/>
        <v>13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25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9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>
        <f t="shared" ca="1" si="18"/>
        <v>1</v>
      </c>
      <c r="AJ24" s="169">
        <f t="shared" ca="1" si="19"/>
        <v>11</v>
      </c>
      <c r="AK24" s="169" t="str">
        <f t="shared" ca="1" si="20"/>
        <v>A-</v>
      </c>
      <c r="AL24" s="169">
        <f t="shared" ca="1" si="20"/>
        <v>20</v>
      </c>
      <c r="AM24" s="169" t="str">
        <f t="shared" ca="1" si="4"/>
        <v>Change</v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65"/>
      <c r="G28" s="366">
        <f t="shared" ca="1" si="1"/>
        <v>22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30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9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65"/>
      <c r="G29" s="366">
        <f t="shared" ca="1" si="1"/>
        <v>25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42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9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65"/>
      <c r="G30" s="366">
        <f t="shared" ca="1" si="1"/>
        <v>29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9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65"/>
      <c r="G31" s="366">
        <f t="shared" ca="1" si="1"/>
        <v>32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9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9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9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65"/>
      <c r="G34" s="366">
        <f t="shared" ca="1" si="1"/>
        <v>39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41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38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44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12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65"/>
      <c r="G39" s="366">
        <f t="shared" ca="1" si="1"/>
        <v>20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>
        <f t="shared" ca="1" si="18"/>
        <v>1</v>
      </c>
      <c r="AJ39" s="169">
        <f t="shared" ca="1" si="19"/>
        <v>29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>Change</v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65"/>
      <c r="G41" s="366">
        <f t="shared" ca="1" si="1"/>
        <v>26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65"/>
      <c r="G42" s="366">
        <f t="shared" ca="1" si="1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9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65"/>
      <c r="G44" s="366">
        <f t="shared" ca="1" si="1"/>
        <v>33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9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47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9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65"/>
      <c r="G46" s="366">
        <f t="shared" ca="1" si="1"/>
        <v>53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48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9">
      <c r="A47" s="223" t="s">
        <v>259</v>
      </c>
      <c r="B47" s="224" t="s">
        <v>142</v>
      </c>
      <c r="C47" s="224">
        <v>17</v>
      </c>
      <c r="D47" s="224" t="s">
        <v>260</v>
      </c>
      <c r="E47" s="225" t="str">
        <f t="shared" ca="1" si="8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49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9">
      <c r="A48" s="223" t="s">
        <v>279</v>
      </c>
      <c r="B48" s="224" t="s">
        <v>142</v>
      </c>
      <c r="C48" s="224">
        <v>17</v>
      </c>
      <c r="D48" s="224" t="s">
        <v>280</v>
      </c>
      <c r="E48" s="225" t="str">
        <f t="shared" ca="1" si="8"/>
        <v>MR</v>
      </c>
      <c r="F48" s="365"/>
      <c r="G48" s="366">
        <f t="shared" ca="1" si="1"/>
        <v>27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50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9">
      <c r="A49" s="223" t="s">
        <v>305</v>
      </c>
      <c r="B49" s="224" t="s">
        <v>142</v>
      </c>
      <c r="C49" s="224">
        <v>17</v>
      </c>
      <c r="D49" s="224" t="s">
        <v>306</v>
      </c>
      <c r="E49" s="225" t="str">
        <f t="shared" ca="1" si="8"/>
        <v>R</v>
      </c>
      <c r="F49" s="365"/>
      <c r="G49" s="366">
        <f t="shared" ca="1" si="1"/>
        <v>57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52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9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65"/>
      <c r="G50" s="366">
        <f t="shared" ca="1" si="1"/>
        <v>36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>Change</v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18.955555555555556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-- 2018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Reg_Percent_2017</v>
      </c>
      <c r="G2" s="172" t="s">
        <v>343</v>
      </c>
      <c r="AJ2" s="173" t="str">
        <f>AJ4 &amp; AJ3</f>
        <v>'Credit_2018Q3'!d:d</v>
      </c>
      <c r="AK2" s="173" t="str">
        <f>AK4 &amp; AK3</f>
        <v>'Credit_2018Q3'!b1</v>
      </c>
      <c r="AL2" s="173" t="str">
        <f>AL4 &amp; AL3</f>
        <v>'Credit_2018Q3'!c1</v>
      </c>
      <c r="AQ2" s="169"/>
    </row>
    <row r="3" spans="1:61" ht="18" hidden="1" outlineLevel="1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'Credit_2018Q3'!</v>
      </c>
      <c r="AK4" s="169" t="str">
        <f t="shared" ref="AK4:AL4" si="0">$AQ$5</f>
        <v>'Credit_2018Q3'!</v>
      </c>
      <c r="AL4" s="169" t="str">
        <f t="shared" si="0"/>
        <v>'Credit_2018Q3'!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(47)</v>
      </c>
      <c r="M5" s="359"/>
      <c r="N5" s="230"/>
      <c r="O5" s="357" t="str">
        <f ca="1">"Regulated" &amp; CHAR( 10 ) &amp; "(" &amp; O14 &amp; ")"</f>
        <v>Regulated
(34)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344</v>
      </c>
    </row>
    <row r="6" spans="1:61" ht="28.5" customHeight="1">
      <c r="A6" s="219" t="s">
        <v>212</v>
      </c>
      <c r="B6" s="220" t="s">
        <v>75</v>
      </c>
      <c r="C6" s="249" t="s">
        <v>214</v>
      </c>
      <c r="D6" s="221"/>
      <c r="E6" s="222">
        <f ca="1">INDIRECT( E3 &amp; G1 )</f>
        <v>43100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65"/>
      <c r="G8" s="366">
        <f t="shared" ca="1" si="1"/>
        <v>56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0.38297872340425532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0.1702127659574468</v>
      </c>
      <c r="N11" s="234"/>
      <c r="O11" s="215">
        <f t="shared" ca="1" si="11"/>
        <v>7</v>
      </c>
      <c r="P11" s="216">
        <f t="shared" ca="1" si="12"/>
        <v>0.20588235294117646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230</v>
      </c>
      <c r="B14" s="224" t="s">
        <v>139</v>
      </c>
      <c r="C14" s="224">
        <v>20</v>
      </c>
      <c r="D14" s="224" t="s">
        <v>231</v>
      </c>
      <c r="E14" s="225" t="str">
        <f t="shared" ca="1" si="8"/>
        <v>R</v>
      </c>
      <c r="F14" s="365"/>
      <c r="G14" s="366">
        <f t="shared" ca="1" si="1"/>
        <v>23</v>
      </c>
      <c r="H14" s="367"/>
      <c r="I14" s="236"/>
      <c r="J14" s="211" t="s">
        <v>144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19.021276595744681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9">
      <c r="A15" s="223" t="s">
        <v>240</v>
      </c>
      <c r="B15" s="224" t="s">
        <v>139</v>
      </c>
      <c r="C15" s="224">
        <v>20</v>
      </c>
      <c r="D15" s="224" t="s">
        <v>241</v>
      </c>
      <c r="E15" s="225" t="str">
        <f t="shared" ca="1" si="8"/>
        <v>MR</v>
      </c>
      <c r="F15" s="365"/>
      <c r="G15" s="366">
        <f t="shared" ca="1" si="1"/>
        <v>31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19.085106382978722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18.970588235294116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19.384615384615383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65"/>
      <c r="G17" s="366">
        <f t="shared" ca="1" si="1"/>
        <v>40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9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65"/>
      <c r="G18" s="366">
        <f t="shared" ca="1" si="1"/>
        <v>44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9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9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9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9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65"/>
      <c r="G22" s="366">
        <f t="shared" ca="1" si="1"/>
        <v>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9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65"/>
      <c r="G23" s="366">
        <f t="shared" ca="1" si="1"/>
        <v>9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34</v>
      </c>
      <c r="AW24" s="168">
        <f>COUNTIF( AV$7:AV24, AV24 )</f>
        <v>2</v>
      </c>
      <c r="AX24" s="208">
        <f t="shared" si="22"/>
        <v>34.200000000000003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245</v>
      </c>
      <c r="B25" s="224" t="s">
        <v>140</v>
      </c>
      <c r="C25" s="224">
        <v>19</v>
      </c>
      <c r="D25" s="224" t="s">
        <v>246</v>
      </c>
      <c r="E25" s="225" t="str">
        <f t="shared" ca="1" si="8"/>
        <v>R</v>
      </c>
      <c r="F25" s="365"/>
      <c r="G25" s="366">
        <f t="shared" ca="1" si="1"/>
        <v>13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3.9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65"/>
      <c r="G26" s="366">
        <f t="shared" ca="1" si="1"/>
        <v>15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9">
      <c r="A27" s="223" t="s">
        <v>258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65"/>
      <c r="G27" s="366">
        <f t="shared" ca="1" si="1"/>
        <v>17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9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65"/>
      <c r="G28" s="366">
        <f t="shared" ca="1" si="1"/>
        <v>18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34</v>
      </c>
      <c r="AW28" s="168">
        <f>COUNTIF( AV$7:AV28, AV28 )</f>
        <v>3</v>
      </c>
      <c r="AX28" s="208">
        <f t="shared" si="22"/>
        <v>34.299999999999997</v>
      </c>
      <c r="AY28" s="168">
        <f t="shared" si="23"/>
        <v>36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9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65"/>
      <c r="G29" s="366">
        <f t="shared" ca="1" si="1"/>
        <v>20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34</v>
      </c>
      <c r="AW29" s="168">
        <f>COUNTIF( AV$7:AV29, AV29 )</f>
        <v>4</v>
      </c>
      <c r="AX29" s="208">
        <f t="shared" si="22"/>
        <v>34.4</v>
      </c>
      <c r="AY29" s="168">
        <f t="shared" si="23"/>
        <v>37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9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65"/>
      <c r="G30" s="366">
        <f t="shared" ca="1" si="1"/>
        <v>22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9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65"/>
      <c r="G31" s="366">
        <f t="shared" ca="1" si="1"/>
        <v>29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9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65"/>
      <c r="G32" s="366">
        <f t="shared" ca="1" si="1"/>
        <v>32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34</v>
      </c>
      <c r="AW32" s="168">
        <f>COUNTIF( AV$7:AV32, AV32 )</f>
        <v>6</v>
      </c>
      <c r="AX32" s="208">
        <f t="shared" si="22"/>
        <v>34.6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9">
      <c r="A33" s="223" t="s">
        <v>277</v>
      </c>
      <c r="B33" s="224" t="s">
        <v>140</v>
      </c>
      <c r="C33" s="224">
        <v>19</v>
      </c>
      <c r="D33" s="224" t="s">
        <v>278</v>
      </c>
      <c r="E33" s="225" t="str">
        <f t="shared" ca="1" si="8"/>
        <v>R</v>
      </c>
      <c r="F33" s="365"/>
      <c r="G33" s="366">
        <f t="shared" ca="1" si="1"/>
        <v>34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3.9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65"/>
      <c r="G34" s="366">
        <f t="shared" ca="1" si="1"/>
        <v>38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9">
      <c r="A35" s="223" t="s">
        <v>285</v>
      </c>
      <c r="B35" s="224" t="s">
        <v>140</v>
      </c>
      <c r="C35" s="224">
        <v>19</v>
      </c>
      <c r="D35" s="224" t="s">
        <v>286</v>
      </c>
      <c r="E35" s="225" t="str">
        <f t="shared" ca="1" si="8"/>
        <v>R</v>
      </c>
      <c r="F35" s="365"/>
      <c r="G35" s="366">
        <f t="shared" ca="1" si="1"/>
        <v>39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3.9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65"/>
      <c r="G36" s="366">
        <f t="shared" ca="1" si="1"/>
        <v>41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34</v>
      </c>
      <c r="AW36" s="168">
        <f>COUNTIF( AV$7:AV36, AV36 )</f>
        <v>7</v>
      </c>
      <c r="AX36" s="208">
        <f t="shared" si="22"/>
        <v>34.700000000000003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9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R</v>
      </c>
      <c r="F37" s="365"/>
      <c r="G37" s="366">
        <f t="shared" ca="1" si="1"/>
        <v>42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>
        <f t="shared" ca="1" si="3"/>
        <v>1</v>
      </c>
      <c r="AH37" s="169" t="str">
        <f t="shared" ca="1" si="18"/>
        <v/>
      </c>
      <c r="AJ37" s="169">
        <f t="shared" ca="1" si="19"/>
        <v>52</v>
      </c>
      <c r="AK37" s="169" t="str">
        <f t="shared" ca="1" si="20"/>
        <v>BBB-</v>
      </c>
      <c r="AL37" s="169">
        <f t="shared" ca="1" si="20"/>
        <v>17</v>
      </c>
      <c r="AM37" s="169" t="str">
        <f t="shared" ca="1" si="4"/>
        <v>Change</v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40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9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65"/>
      <c r="G38" s="366">
        <f t="shared" ca="1" si="1"/>
        <v>43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34</v>
      </c>
      <c r="AW38" s="168">
        <f>COUNTIF( AV$7:AV38, AV38 )</f>
        <v>8</v>
      </c>
      <c r="AX38" s="208">
        <f t="shared" si="22"/>
        <v>34.799999999999997</v>
      </c>
      <c r="AY38" s="168">
        <f t="shared" si="23"/>
        <v>41</v>
      </c>
      <c r="AZ38" s="169"/>
      <c r="BA38" s="169"/>
      <c r="BC38" s="168">
        <f t="shared" ca="1" si="24"/>
        <v>32</v>
      </c>
      <c r="BD38" s="209">
        <f t="shared" ca="1" si="6"/>
        <v>41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9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65"/>
      <c r="G39" s="366">
        <f t="shared" ca="1" si="1"/>
        <v>45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301</v>
      </c>
      <c r="AR39" s="207" t="s">
        <v>142</v>
      </c>
      <c r="AS39" s="207">
        <v>17</v>
      </c>
      <c r="AT39" s="207" t="s">
        <v>302</v>
      </c>
      <c r="AV39" s="168">
        <f t="shared" si="21"/>
        <v>42</v>
      </c>
      <c r="AW39" s="168">
        <f>COUNTIF( AV$7:AV39, AV39 )</f>
        <v>4</v>
      </c>
      <c r="AX39" s="208">
        <f t="shared" si="22"/>
        <v>42.4</v>
      </c>
      <c r="AY39" s="168">
        <f t="shared" si="23"/>
        <v>45</v>
      </c>
      <c r="AZ39" s="169"/>
      <c r="BA39" s="169"/>
      <c r="BC39" s="168">
        <f t="shared" ca="1" si="24"/>
        <v>33</v>
      </c>
      <c r="BD39" s="209">
        <f t="shared" ca="1" si="6"/>
        <v>43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9">
      <c r="A40" s="223" t="s">
        <v>238</v>
      </c>
      <c r="B40" s="224" t="s">
        <v>141</v>
      </c>
      <c r="C40" s="224">
        <v>18</v>
      </c>
      <c r="D40" s="224" t="s">
        <v>239</v>
      </c>
      <c r="E40" s="225" t="str">
        <f t="shared" ca="1" si="8"/>
        <v>R</v>
      </c>
      <c r="F40" s="365"/>
      <c r="G40" s="366">
        <f t="shared" ca="1" si="1"/>
        <v>12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9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65"/>
      <c r="G41" s="366">
        <f t="shared" ca="1" si="1"/>
        <v>21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9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65"/>
      <c r="G42" s="366">
        <f t="shared" ca="1" si="1"/>
        <v>25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22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9">
      <c r="A43" s="223" t="s">
        <v>275</v>
      </c>
      <c r="B43" s="224" t="s">
        <v>141</v>
      </c>
      <c r="C43" s="224">
        <v>18</v>
      </c>
      <c r="D43" s="224" t="s">
        <v>276</v>
      </c>
      <c r="E43" s="225" t="str">
        <f t="shared" ca="1" si="8"/>
        <v>R</v>
      </c>
      <c r="F43" s="365"/>
      <c r="G43" s="366">
        <f t="shared" ca="1" si="1"/>
        <v>26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23</v>
      </c>
      <c r="BF43" s="173" t="str">
        <f t="shared" ca="1" si="25"/>
        <v>FirstEnergy Corp.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FE</v>
      </c>
    </row>
    <row r="44" spans="1:61" ht="13.9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65"/>
      <c r="G44" s="366">
        <f t="shared" ca="1" si="1"/>
        <v>28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9">
      <c r="A45" s="223" t="s">
        <v>287</v>
      </c>
      <c r="B45" s="224" t="s">
        <v>141</v>
      </c>
      <c r="C45" s="224">
        <v>18</v>
      </c>
      <c r="D45" s="224" t="s">
        <v>288</v>
      </c>
      <c r="E45" s="225" t="str">
        <f t="shared" ca="1" si="8"/>
        <v>R</v>
      </c>
      <c r="F45" s="365"/>
      <c r="G45" s="366">
        <f t="shared" ca="1" si="1"/>
        <v>55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IPALCO Enterprises,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**IPALCO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33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140</v>
      </c>
      <c r="AS46" s="207">
        <v>19</v>
      </c>
      <c r="AT46" s="207" t="s">
        <v>348</v>
      </c>
      <c r="AV46" s="168">
        <f t="shared" si="21"/>
        <v>16</v>
      </c>
      <c r="AW46" s="168">
        <f>COUNTIF( AV$7:AV46, AV46 )</f>
        <v>16</v>
      </c>
      <c r="AX46" s="208">
        <f t="shared" si="22"/>
        <v>17.600000000000001</v>
      </c>
      <c r="AY46" s="168">
        <f t="shared" si="23"/>
        <v>31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35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17</v>
      </c>
      <c r="AX47" s="208">
        <f t="shared" si="22"/>
        <v>17.7</v>
      </c>
      <c r="AY47" s="168">
        <f t="shared" si="23"/>
        <v>32</v>
      </c>
      <c r="AZ47" s="169"/>
      <c r="BA47" s="169"/>
      <c r="BC47" s="168">
        <f t="shared" ca="1" si="24"/>
        <v>41</v>
      </c>
      <c r="BD47" s="209">
        <f t="shared" ca="1" si="6"/>
        <v>32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254</v>
      </c>
      <c r="B48" s="224" t="s">
        <v>142</v>
      </c>
      <c r="C48" s="224">
        <v>17</v>
      </c>
      <c r="D48" s="224" t="s">
        <v>255</v>
      </c>
      <c r="E48" s="225" t="str">
        <f t="shared" ca="1" si="8"/>
        <v>R</v>
      </c>
      <c r="F48" s="365"/>
      <c r="G48" s="366">
        <f t="shared" ca="1" si="1"/>
        <v>53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9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18</v>
      </c>
      <c r="AX49" s="208">
        <f t="shared" si="22"/>
        <v>17.8</v>
      </c>
      <c r="AY49" s="168">
        <f t="shared" si="23"/>
        <v>33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9">
      <c r="A50" s="223" t="s">
        <v>279</v>
      </c>
      <c r="B50" s="224" t="s">
        <v>142</v>
      </c>
      <c r="C50" s="224">
        <v>17</v>
      </c>
      <c r="D50" s="224" t="s">
        <v>280</v>
      </c>
      <c r="E50" s="225" t="str">
        <f t="shared" ca="1" si="8"/>
        <v>MR</v>
      </c>
      <c r="F50" s="365"/>
      <c r="G50" s="366">
        <f t="shared" ca="1" si="1"/>
        <v>27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3.9">
      <c r="A51" s="223" t="s">
        <v>301</v>
      </c>
      <c r="B51" s="224" t="s">
        <v>142</v>
      </c>
      <c r="C51" s="224">
        <v>17</v>
      </c>
      <c r="D51" s="224" t="s">
        <v>302</v>
      </c>
      <c r="E51" s="225" t="str">
        <f t="shared" ca="1" si="8"/>
        <v>R</v>
      </c>
      <c r="F51" s="365"/>
      <c r="G51" s="366">
        <f t="shared" ca="1" si="1"/>
        <v>36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>
        <f t="shared" ca="1" si="18"/>
        <v>1</v>
      </c>
      <c r="AJ51" s="169">
        <f t="shared" ca="1" si="19"/>
        <v>47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>Change</v>
      </c>
      <c r="AQ51" s="207" t="s">
        <v>247</v>
      </c>
      <c r="AR51" s="207" t="s">
        <v>139</v>
      </c>
      <c r="AS51" s="207">
        <v>20</v>
      </c>
      <c r="AT51" s="207" t="s">
        <v>248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33</v>
      </c>
      <c r="BF51" s="173" t="str">
        <f t="shared" ca="1" si="25"/>
        <v>PG&amp;E Corporation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PCG</v>
      </c>
    </row>
    <row r="52" spans="1:61" ht="13.9">
      <c r="A52" s="223" t="s">
        <v>305</v>
      </c>
      <c r="B52" s="224" t="s">
        <v>142</v>
      </c>
      <c r="C52" s="224">
        <v>17</v>
      </c>
      <c r="D52" s="224" t="s">
        <v>306</v>
      </c>
      <c r="E52" s="225" t="str">
        <f t="shared" ca="1" si="8"/>
        <v>R</v>
      </c>
      <c r="F52" s="365"/>
      <c r="G52" s="366">
        <f t="shared" ca="1" si="1"/>
        <v>57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251</v>
      </c>
      <c r="AR52" s="207" t="s">
        <v>139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19.085106382978722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19.021276595744681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-- 2018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Reg_Percent_2017</v>
      </c>
      <c r="G2" s="172" t="s">
        <v>343</v>
      </c>
      <c r="AJ2" s="173" t="str">
        <f>AJ4 &amp; AJ3</f>
        <v>'Credit_2018Q2'!d:d</v>
      </c>
      <c r="AK2" s="173" t="str">
        <f>AK4 &amp; AK3</f>
        <v>'Credit_2018Q2'!b1</v>
      </c>
      <c r="AL2" s="173" t="str">
        <f>AL4 &amp; AL3</f>
        <v>'Credit_2018Q2'!c1</v>
      </c>
      <c r="AQ2" s="169"/>
    </row>
    <row r="3" spans="1:61" ht="18" hidden="1" outlineLevel="1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'Credit_2018Q2'!</v>
      </c>
      <c r="AK4" s="169" t="str">
        <f t="shared" ref="AK4:AL4" si="0">$AQ$5</f>
        <v>'Credit_2018Q2'!</v>
      </c>
      <c r="AL4" s="169" t="str">
        <f t="shared" si="0"/>
        <v>'Credit_2018Q2'!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(47)</v>
      </c>
      <c r="M5" s="359"/>
      <c r="N5" s="230"/>
      <c r="O5" s="357" t="str">
        <f ca="1">"Regulated" &amp; CHAR( 10 ) &amp; "(" &amp; O14 &amp; ")"</f>
        <v>Regulated
(34)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349</v>
      </c>
    </row>
    <row r="6" spans="1:61" ht="28.5" customHeight="1">
      <c r="A6" s="219" t="s">
        <v>212</v>
      </c>
      <c r="B6" s="220" t="s">
        <v>74</v>
      </c>
      <c r="C6" s="249" t="s">
        <v>214</v>
      </c>
      <c r="D6" s="221"/>
      <c r="E6" s="222">
        <f ca="1">INDIRECT( E3 &amp; G1 )</f>
        <v>43100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65"/>
      <c r="G8" s="366">
        <f t="shared" ca="1" si="1"/>
        <v>56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0.36170212765957449</v>
      </c>
      <c r="N10" s="234"/>
      <c r="O10" s="215">
        <f t="shared" ca="1" si="11"/>
        <v>10</v>
      </c>
      <c r="P10" s="216">
        <f t="shared" ca="1" si="12"/>
        <v>0.29411764705882354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9</v>
      </c>
      <c r="M11" s="216">
        <f t="shared" si="10"/>
        <v>0.19148936170212766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230</v>
      </c>
      <c r="B14" s="224" t="s">
        <v>139</v>
      </c>
      <c r="C14" s="224">
        <v>20</v>
      </c>
      <c r="D14" s="224" t="s">
        <v>231</v>
      </c>
      <c r="E14" s="225" t="str">
        <f t="shared" ca="1" si="8"/>
        <v>R</v>
      </c>
      <c r="F14" s="365"/>
      <c r="G14" s="366">
        <f t="shared" ca="1" si="1"/>
        <v>23</v>
      </c>
      <c r="H14" s="367"/>
      <c r="I14" s="236"/>
      <c r="J14" s="211" t="s">
        <v>144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9">
      <c r="A15" s="223" t="s">
        <v>240</v>
      </c>
      <c r="B15" s="224" t="s">
        <v>139</v>
      </c>
      <c r="C15" s="224">
        <v>20</v>
      </c>
      <c r="D15" s="224" t="s">
        <v>241</v>
      </c>
      <c r="E15" s="225" t="str">
        <f t="shared" ca="1" si="8"/>
        <v>MR</v>
      </c>
      <c r="F15" s="365"/>
      <c r="G15" s="366">
        <f t="shared" ca="1" si="1"/>
        <v>31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19.063829787234042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18.941176470588236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19.384615384615383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65"/>
      <c r="G17" s="366">
        <f t="shared" ca="1" si="1"/>
        <v>40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9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65"/>
      <c r="G18" s="366">
        <f t="shared" ca="1" si="1"/>
        <v>44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9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9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9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9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65"/>
      <c r="G22" s="366">
        <f t="shared" ca="1" si="1"/>
        <v>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9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65"/>
      <c r="G23" s="366">
        <f t="shared" ca="1" si="1"/>
        <v>9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33</v>
      </c>
      <c r="AW24" s="168">
        <f>COUNTIF( AV$7:AV24, AV24 )</f>
        <v>2</v>
      </c>
      <c r="AX24" s="208">
        <f t="shared" si="22"/>
        <v>33.200000000000003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245</v>
      </c>
      <c r="B25" s="224" t="s">
        <v>140</v>
      </c>
      <c r="C25" s="224">
        <v>19</v>
      </c>
      <c r="D25" s="224" t="s">
        <v>246</v>
      </c>
      <c r="E25" s="225" t="str">
        <f t="shared" ca="1" si="8"/>
        <v>R</v>
      </c>
      <c r="F25" s="365"/>
      <c r="G25" s="366">
        <f t="shared" ca="1" si="1"/>
        <v>13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>
        <f t="shared" ca="1" si="3"/>
        <v>1</v>
      </c>
      <c r="AH25" s="169" t="str">
        <f t="shared" ca="1" si="18"/>
        <v/>
      </c>
      <c r="AJ25" s="169">
        <f t="shared" ca="1" si="19"/>
        <v>38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4"/>
        <v>Change</v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3.9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65"/>
      <c r="G26" s="366">
        <f t="shared" ca="1" si="1"/>
        <v>15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9">
      <c r="A27" s="223" t="s">
        <v>258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65"/>
      <c r="G27" s="366">
        <f t="shared" ca="1" si="1"/>
        <v>17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9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65"/>
      <c r="G28" s="366">
        <f t="shared" ca="1" si="1"/>
        <v>18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33</v>
      </c>
      <c r="AW28" s="168">
        <f>COUNTIF( AV$7:AV28, AV28 )</f>
        <v>3</v>
      </c>
      <c r="AX28" s="208">
        <f t="shared" si="22"/>
        <v>33.299999999999997</v>
      </c>
      <c r="AY28" s="168">
        <f t="shared" si="23"/>
        <v>35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9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65"/>
      <c r="G29" s="366">
        <f t="shared" ca="1" si="1"/>
        <v>20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33</v>
      </c>
      <c r="AW29" s="168">
        <f>COUNTIF( AV$7:AV29, AV29 )</f>
        <v>4</v>
      </c>
      <c r="AX29" s="208">
        <f t="shared" si="22"/>
        <v>33.4</v>
      </c>
      <c r="AY29" s="168">
        <f t="shared" si="23"/>
        <v>36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9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65"/>
      <c r="G30" s="366">
        <f t="shared" ca="1" si="1"/>
        <v>22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9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65"/>
      <c r="G31" s="366">
        <f t="shared" ca="1" si="1"/>
        <v>29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9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65"/>
      <c r="G32" s="366">
        <f t="shared" ca="1" si="1"/>
        <v>32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9">
      <c r="A33" s="223" t="s">
        <v>277</v>
      </c>
      <c r="B33" s="224" t="s">
        <v>140</v>
      </c>
      <c r="C33" s="224">
        <v>19</v>
      </c>
      <c r="D33" s="224" t="s">
        <v>278</v>
      </c>
      <c r="E33" s="225" t="str">
        <f t="shared" ca="1" si="8"/>
        <v>R</v>
      </c>
      <c r="F33" s="365"/>
      <c r="G33" s="366">
        <f t="shared" ca="1" si="1"/>
        <v>34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3.9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65"/>
      <c r="G34" s="366">
        <f t="shared" ca="1" si="1"/>
        <v>38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9">
      <c r="A35" s="223" t="s">
        <v>285</v>
      </c>
      <c r="B35" s="224" t="s">
        <v>140</v>
      </c>
      <c r="C35" s="224">
        <v>19</v>
      </c>
      <c r="D35" s="224" t="s">
        <v>286</v>
      </c>
      <c r="E35" s="225" t="str">
        <f t="shared" ca="1" si="8"/>
        <v>R</v>
      </c>
      <c r="F35" s="365"/>
      <c r="G35" s="366">
        <f t="shared" ca="1" si="1"/>
        <v>39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8"/>
        <v/>
      </c>
      <c r="AJ35" s="169">
        <f t="shared" ca="1" si="19"/>
        <v>46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>Change</v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3.9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65"/>
      <c r="G36" s="366">
        <f t="shared" ca="1" si="1"/>
        <v>41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9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65"/>
      <c r="G37" s="366">
        <f t="shared" ca="1" si="1"/>
        <v>43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9">
      <c r="A38" s="223" t="s">
        <v>295</v>
      </c>
      <c r="B38" s="224" t="s">
        <v>140</v>
      </c>
      <c r="C38" s="224">
        <v>19</v>
      </c>
      <c r="D38" s="224" t="s">
        <v>296</v>
      </c>
      <c r="E38" s="225" t="str">
        <f t="shared" ca="1" si="8"/>
        <v>R</v>
      </c>
      <c r="F38" s="365"/>
      <c r="G38" s="366">
        <f t="shared" ca="1" si="1"/>
        <v>45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43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3.9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65"/>
      <c r="G39" s="366">
        <f t="shared" ca="1" si="1"/>
        <v>12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141</v>
      </c>
      <c r="AS39" s="207">
        <v>18</v>
      </c>
      <c r="AT39" s="207" t="s">
        <v>302</v>
      </c>
      <c r="AV39" s="168">
        <f t="shared" si="21"/>
        <v>33</v>
      </c>
      <c r="AW39" s="168">
        <f>COUNTIF( AV$7:AV39, AV39 )</f>
        <v>9</v>
      </c>
      <c r="AX39" s="208">
        <f t="shared" si="22"/>
        <v>33.9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269</v>
      </c>
      <c r="B41" s="224" t="s">
        <v>141</v>
      </c>
      <c r="C41" s="224">
        <v>18</v>
      </c>
      <c r="D41" s="224" t="s">
        <v>270</v>
      </c>
      <c r="E41" s="225" t="str">
        <f t="shared" ca="1" si="8"/>
        <v>MR</v>
      </c>
      <c r="F41" s="365"/>
      <c r="G41" s="366">
        <f t="shared" ca="1" si="1"/>
        <v>25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22</v>
      </c>
      <c r="BF41" s="173" t="str">
        <f t="shared" ca="1" si="25"/>
        <v>Exelon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EXC</v>
      </c>
    </row>
    <row r="42" spans="1:61" ht="13.9">
      <c r="A42" s="223" t="s">
        <v>275</v>
      </c>
      <c r="B42" s="224" t="s">
        <v>141</v>
      </c>
      <c r="C42" s="224">
        <v>18</v>
      </c>
      <c r="D42" s="224" t="s">
        <v>276</v>
      </c>
      <c r="E42" s="225" t="str">
        <f t="shared" ca="1" si="8"/>
        <v>R</v>
      </c>
      <c r="F42" s="365"/>
      <c r="G42" s="366">
        <f t="shared" ca="1" si="1"/>
        <v>26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>
        <f t="shared" ca="1" si="3"/>
        <v>1</v>
      </c>
      <c r="AH42" s="169" t="str">
        <f t="shared" ca="1" si="18"/>
        <v/>
      </c>
      <c r="AJ42" s="169">
        <f t="shared" ca="1" si="19"/>
        <v>50</v>
      </c>
      <c r="AK42" s="169" t="str">
        <f t="shared" ca="1" si="20"/>
        <v>BBB-</v>
      </c>
      <c r="AL42" s="169">
        <f t="shared" ca="1" si="20"/>
        <v>17</v>
      </c>
      <c r="AM42" s="169" t="str">
        <f t="shared" ca="1" si="4"/>
        <v>Change</v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23</v>
      </c>
      <c r="BF42" s="173" t="str">
        <f t="shared" ca="1" si="25"/>
        <v>FirstEnergy Corp.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FE</v>
      </c>
    </row>
    <row r="43" spans="1:61" ht="13.9">
      <c r="A43" s="223" t="s">
        <v>283</v>
      </c>
      <c r="B43" s="224" t="s">
        <v>141</v>
      </c>
      <c r="C43" s="224">
        <v>18</v>
      </c>
      <c r="D43" s="224" t="s">
        <v>284</v>
      </c>
      <c r="E43" s="225" t="str">
        <f t="shared" ca="1" si="8"/>
        <v>R</v>
      </c>
      <c r="F43" s="365"/>
      <c r="G43" s="366">
        <f t="shared" ca="1" si="1"/>
        <v>28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3.9">
      <c r="A44" s="223" t="s">
        <v>287</v>
      </c>
      <c r="B44" s="224" t="s">
        <v>141</v>
      </c>
      <c r="C44" s="224">
        <v>18</v>
      </c>
      <c r="D44" s="224" t="s">
        <v>288</v>
      </c>
      <c r="E44" s="225" t="str">
        <f t="shared" ca="1" si="8"/>
        <v>R</v>
      </c>
      <c r="F44" s="365"/>
      <c r="G44" s="366">
        <f t="shared" ca="1" si="1"/>
        <v>55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3.9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65"/>
      <c r="G45" s="366">
        <f t="shared" ca="1" si="1"/>
        <v>33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42</v>
      </c>
      <c r="AW45" s="168">
        <f>COUNTIF( AV$7:AV45, AV45 )</f>
        <v>4</v>
      </c>
      <c r="AX45" s="208">
        <f t="shared" si="22"/>
        <v>42.4</v>
      </c>
      <c r="AY45" s="168">
        <f t="shared" si="23"/>
        <v>45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9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65"/>
      <c r="G46" s="366">
        <f t="shared" ca="1" si="1"/>
        <v>35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142</v>
      </c>
      <c r="AS46" s="207">
        <v>17</v>
      </c>
      <c r="AT46" s="207" t="s">
        <v>348</v>
      </c>
      <c r="AV46" s="168">
        <f t="shared" si="21"/>
        <v>42</v>
      </c>
      <c r="AW46" s="168">
        <f>COUNTIF( AV$7:AV46, AV46 )</f>
        <v>5</v>
      </c>
      <c r="AX46" s="208">
        <f t="shared" si="22"/>
        <v>42.5</v>
      </c>
      <c r="AY46" s="168">
        <f t="shared" si="23"/>
        <v>46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9">
      <c r="A47" s="223" t="s">
        <v>301</v>
      </c>
      <c r="B47" s="224" t="s">
        <v>141</v>
      </c>
      <c r="C47" s="224">
        <v>18</v>
      </c>
      <c r="D47" s="224" t="s">
        <v>302</v>
      </c>
      <c r="E47" s="225" t="str">
        <f t="shared" ca="1" si="8"/>
        <v>R</v>
      </c>
      <c r="F47" s="365"/>
      <c r="G47" s="366">
        <f t="shared" ca="1" si="1"/>
        <v>36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9">
      <c r="A48" s="223" t="s">
        <v>254</v>
      </c>
      <c r="B48" s="224" t="s">
        <v>142</v>
      </c>
      <c r="C48" s="224">
        <v>17</v>
      </c>
      <c r="D48" s="224" t="s">
        <v>255</v>
      </c>
      <c r="E48" s="225" t="str">
        <f t="shared" ca="1" si="8"/>
        <v>R</v>
      </c>
      <c r="F48" s="365"/>
      <c r="G48" s="366">
        <f t="shared" ca="1" si="1"/>
        <v>53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9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17</v>
      </c>
      <c r="AX49" s="208">
        <f t="shared" si="22"/>
        <v>17.7</v>
      </c>
      <c r="AY49" s="168">
        <f t="shared" si="23"/>
        <v>32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9">
      <c r="A50" s="223" t="s">
        <v>279</v>
      </c>
      <c r="B50" s="224" t="s">
        <v>142</v>
      </c>
      <c r="C50" s="224">
        <v>17</v>
      </c>
      <c r="D50" s="224" t="s">
        <v>280</v>
      </c>
      <c r="E50" s="225" t="str">
        <f t="shared" ca="1" si="8"/>
        <v>MR</v>
      </c>
      <c r="F50" s="365"/>
      <c r="G50" s="366">
        <f t="shared" ca="1" si="1"/>
        <v>27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3.9">
      <c r="A51" s="223" t="s">
        <v>305</v>
      </c>
      <c r="B51" s="224" t="s">
        <v>142</v>
      </c>
      <c r="C51" s="224">
        <v>17</v>
      </c>
      <c r="D51" s="224" t="s">
        <v>306</v>
      </c>
      <c r="E51" s="225" t="str">
        <f t="shared" ca="1" si="8"/>
        <v>R</v>
      </c>
      <c r="F51" s="365"/>
      <c r="G51" s="366">
        <f t="shared" ca="1" si="1"/>
        <v>57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247</v>
      </c>
      <c r="AR51" s="207" t="s">
        <v>139</v>
      </c>
      <c r="AS51" s="207">
        <v>20</v>
      </c>
      <c r="AT51" s="207" t="s">
        <v>248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39</v>
      </c>
      <c r="BF51" s="173" t="str">
        <f t="shared" ca="1" si="25"/>
        <v>Puget Energy,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**PSD</v>
      </c>
    </row>
    <row r="52" spans="1:61" ht="13.9">
      <c r="A52" s="223" t="s">
        <v>347</v>
      </c>
      <c r="B52" s="224" t="s">
        <v>142</v>
      </c>
      <c r="C52" s="224">
        <v>17</v>
      </c>
      <c r="D52" s="224" t="s">
        <v>348</v>
      </c>
      <c r="E52" s="225" t="str">
        <f t="shared" ca="1" si="8"/>
        <v>R</v>
      </c>
      <c r="F52" s="365"/>
      <c r="G52" s="366">
        <f t="shared" ca="1" si="1"/>
        <v>42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>
        <f t="shared" ca="1" si="18"/>
        <v>1</v>
      </c>
      <c r="AJ52" s="169">
        <f t="shared" ca="1" si="19"/>
        <v>47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>Change</v>
      </c>
      <c r="AQ52" s="207" t="s">
        <v>251</v>
      </c>
      <c r="AR52" s="207" t="s">
        <v>139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40</v>
      </c>
      <c r="BF52" s="173" t="str">
        <f t="shared" ca="1" si="25"/>
        <v>SCANA Corporation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SCG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19.063829787234042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19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  <pageSetUpPr fitToPage="1"/>
  </sheetPr>
  <dimension ref="C1:W19"/>
  <sheetViews>
    <sheetView showGridLines="0" zoomScale="90" zoomScaleNormal="90" workbookViewId="0"/>
  </sheetViews>
  <sheetFormatPr defaultColWidth="9.140625" defaultRowHeight="13.15"/>
  <cols>
    <col min="1" max="2" width="2.7109375" customWidth="1"/>
    <col min="3" max="3" width="25.140625" customWidth="1"/>
    <col min="9" max="10" width="8.42578125" customWidth="1"/>
  </cols>
  <sheetData>
    <row r="1" spans="3:23" ht="17.45">
      <c r="C1" s="12" t="s">
        <v>104</v>
      </c>
    </row>
    <row r="2" spans="3:23" ht="17.45">
      <c r="C2" s="12"/>
    </row>
    <row r="3" spans="3:23" ht="17.45">
      <c r="C3" s="12"/>
    </row>
    <row r="5" spans="3:23">
      <c r="C5" s="348" t="s">
        <v>105</v>
      </c>
      <c r="D5" s="348"/>
      <c r="E5" s="348"/>
      <c r="F5" s="348"/>
      <c r="G5" s="364"/>
      <c r="H5" s="364"/>
      <c r="I5" s="364"/>
    </row>
    <row r="6" spans="3:23">
      <c r="C6" s="31"/>
      <c r="D6" s="31"/>
      <c r="E6" s="31"/>
      <c r="F6" s="31"/>
      <c r="G6" s="31"/>
      <c r="H6" s="31"/>
      <c r="I6" s="31"/>
    </row>
    <row r="7" spans="3:23">
      <c r="C7" s="347" t="s">
        <v>106</v>
      </c>
      <c r="D7" s="347"/>
      <c r="E7" s="347"/>
      <c r="F7" s="347"/>
      <c r="G7" s="32"/>
      <c r="H7" s="32"/>
      <c r="I7" s="31"/>
    </row>
    <row r="8" spans="3:23">
      <c r="C8" s="31"/>
      <c r="D8" s="31"/>
      <c r="E8" s="31"/>
      <c r="F8" s="31"/>
      <c r="G8" s="31"/>
      <c r="H8" s="31"/>
      <c r="I8" s="31"/>
    </row>
    <row r="9" spans="3:23">
      <c r="C9" s="30" t="s">
        <v>107</v>
      </c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</row>
    <row r="10" spans="3:23">
      <c r="C10" s="31"/>
      <c r="D10" s="34"/>
      <c r="E10" s="34"/>
      <c r="F10" s="34"/>
      <c r="G10" s="31"/>
      <c r="H10" s="31"/>
      <c r="I10" s="31"/>
      <c r="J10" s="31"/>
      <c r="K10" s="31"/>
    </row>
    <row r="11" spans="3:23">
      <c r="C11" s="306" t="s">
        <v>108</v>
      </c>
      <c r="D11" s="302">
        <v>57</v>
      </c>
      <c r="E11" s="302">
        <v>62</v>
      </c>
      <c r="F11" s="302">
        <v>34</v>
      </c>
      <c r="G11" s="302">
        <v>22</v>
      </c>
      <c r="H11" s="302">
        <v>31</v>
      </c>
      <c r="I11" s="302">
        <v>41</v>
      </c>
      <c r="J11" s="302">
        <v>17</v>
      </c>
      <c r="K11" s="302">
        <v>14</v>
      </c>
      <c r="L11" s="302">
        <v>24</v>
      </c>
      <c r="M11" s="302">
        <f ca="1">'II. Upgrades &amp; Downgrades'!AS50</f>
        <v>25</v>
      </c>
      <c r="N11" s="302">
        <f ca="1">'II. Upgrades &amp; Downgrades'!AW50</f>
        <v>26</v>
      </c>
      <c r="O11" s="302">
        <f ca="1">'II. Upgrades &amp; Downgrades'!BA50</f>
        <v>23</v>
      </c>
      <c r="P11" s="302">
        <f ca="1">'II. Upgrades &amp; Downgrades'!BE50</f>
        <v>14</v>
      </c>
      <c r="Q11" s="302">
        <f ca="1">'II. Upgrades &amp; Downgrades'!BI50</f>
        <v>11</v>
      </c>
      <c r="R11" s="302">
        <f ca="1">'II. Upgrades &amp; Downgrades'!BM50</f>
        <v>16</v>
      </c>
      <c r="S11" s="302">
        <f ca="1">'II. Upgrades &amp; Downgrades'!BQ50</f>
        <v>15</v>
      </c>
      <c r="T11" s="302">
        <f ca="1">'II. Upgrades &amp; Downgrades'!BU50</f>
        <v>33</v>
      </c>
      <c r="U11" s="302">
        <f ca="1">'II. Upgrades &amp; Downgrades'!BY50</f>
        <v>36</v>
      </c>
      <c r="V11" s="302">
        <f ca="1">'II. Upgrades &amp; Downgrades'!CC50</f>
        <v>24</v>
      </c>
      <c r="W11" s="302">
        <v>6</v>
      </c>
    </row>
    <row r="12" spans="3:23">
      <c r="C12" s="305" t="s">
        <v>109</v>
      </c>
      <c r="D12" s="299">
        <v>118</v>
      </c>
      <c r="E12" s="299">
        <v>79</v>
      </c>
      <c r="F12" s="299">
        <v>42</v>
      </c>
      <c r="G12" s="299">
        <v>46</v>
      </c>
      <c r="H12" s="299">
        <v>39</v>
      </c>
      <c r="I12" s="299">
        <v>32</v>
      </c>
      <c r="J12" s="299">
        <v>6</v>
      </c>
      <c r="K12" s="299">
        <v>23</v>
      </c>
      <c r="L12" s="299">
        <v>20</v>
      </c>
      <c r="M12" s="299">
        <f ca="1">'II. Upgrades &amp; Downgrades'!AS51</f>
        <v>11</v>
      </c>
      <c r="N12" s="299">
        <f ca="1">'II. Upgrades &amp; Downgrades'!AW51</f>
        <v>20</v>
      </c>
      <c r="O12" s="299">
        <f ca="1">'II. Upgrades &amp; Downgrades'!BA51</f>
        <v>17</v>
      </c>
      <c r="P12" s="299">
        <f ca="1">'II. Upgrades &amp; Downgrades'!BE51</f>
        <v>85</v>
      </c>
      <c r="Q12" s="299">
        <f ca="1">'II. Upgrades &amp; Downgrades'!BI51</f>
        <v>12</v>
      </c>
      <c r="R12" s="299">
        <f ca="1">'II. Upgrades &amp; Downgrades'!BM51</f>
        <v>13</v>
      </c>
      <c r="S12" s="299">
        <f ca="1">'II. Upgrades &amp; Downgrades'!BQ51</f>
        <v>12</v>
      </c>
      <c r="T12" s="299">
        <f ca="1">'II. Upgrades &amp; Downgrades'!BU51</f>
        <v>23</v>
      </c>
      <c r="U12" s="299">
        <f ca="1">'II. Upgrades &amp; Downgrades'!BY51</f>
        <v>20</v>
      </c>
      <c r="V12" s="299">
        <f ca="1">'II. Upgrades &amp; Downgrades'!CC51</f>
        <v>12</v>
      </c>
      <c r="W12" s="299">
        <v>12</v>
      </c>
    </row>
    <row r="13" spans="3:23">
      <c r="C13" s="307" t="s">
        <v>110</v>
      </c>
      <c r="D13" s="304">
        <v>125</v>
      </c>
      <c r="E13" s="304">
        <v>112</v>
      </c>
      <c r="F13" s="304">
        <v>34</v>
      </c>
      <c r="G13" s="304">
        <v>53</v>
      </c>
      <c r="H13" s="304">
        <v>40</v>
      </c>
      <c r="I13" s="304">
        <v>48</v>
      </c>
      <c r="J13" s="304">
        <v>27</v>
      </c>
      <c r="K13" s="304">
        <v>20</v>
      </c>
      <c r="L13" s="304">
        <v>36</v>
      </c>
      <c r="M13" s="304">
        <f ca="1">'II. Upgrades &amp; Downgrades'!AS52</f>
        <v>24</v>
      </c>
      <c r="N13" s="304">
        <f ca="1">'II. Upgrades &amp; Downgrades'!AW52</f>
        <v>30</v>
      </c>
      <c r="O13" s="304">
        <f ca="1">'II. Upgrades &amp; Downgrades'!BA52</f>
        <v>40</v>
      </c>
      <c r="P13" s="304">
        <f ca="1">'II. Upgrades &amp; Downgrades'!BE52</f>
        <v>7</v>
      </c>
      <c r="Q13" s="304">
        <f ca="1">'II. Upgrades &amp; Downgrades'!BI52</f>
        <v>27</v>
      </c>
      <c r="R13" s="304">
        <f ca="1">'II. Upgrades &amp; Downgrades'!BM52</f>
        <v>38</v>
      </c>
      <c r="S13" s="304">
        <f ca="1">'II. Upgrades &amp; Downgrades'!BQ52</f>
        <v>25</v>
      </c>
      <c r="T13" s="304">
        <f ca="1">'II. Upgrades &amp; Downgrades'!BU52</f>
        <v>37</v>
      </c>
      <c r="U13" s="304">
        <f ca="1">'II. Upgrades &amp; Downgrades'!BY52</f>
        <v>34</v>
      </c>
      <c r="V13" s="304">
        <f ca="1">'II. Upgrades &amp; Downgrades'!CC52</f>
        <v>23</v>
      </c>
      <c r="W13" s="304">
        <v>34</v>
      </c>
    </row>
    <row r="14" spans="3:23" s="11" customFormat="1">
      <c r="C14" s="300" t="s">
        <v>111</v>
      </c>
      <c r="D14" s="300">
        <f t="shared" ref="D14:J14" si="0">SUM(D11:D13)</f>
        <v>300</v>
      </c>
      <c r="E14" s="300">
        <f t="shared" si="0"/>
        <v>253</v>
      </c>
      <c r="F14" s="300">
        <f t="shared" si="0"/>
        <v>110</v>
      </c>
      <c r="G14" s="300">
        <f t="shared" si="0"/>
        <v>121</v>
      </c>
      <c r="H14" s="300">
        <f t="shared" si="0"/>
        <v>110</v>
      </c>
      <c r="I14" s="300">
        <f t="shared" si="0"/>
        <v>121</v>
      </c>
      <c r="J14" s="300">
        <f t="shared" si="0"/>
        <v>50</v>
      </c>
      <c r="K14" s="300">
        <f t="shared" ref="K14:T14" si="1">SUM(K11:K13)</f>
        <v>57</v>
      </c>
      <c r="L14" s="300">
        <f t="shared" si="1"/>
        <v>80</v>
      </c>
      <c r="M14" s="300">
        <f t="shared" ca="1" si="1"/>
        <v>60</v>
      </c>
      <c r="N14" s="300">
        <f t="shared" ca="1" si="1"/>
        <v>76</v>
      </c>
      <c r="O14" s="300">
        <f t="shared" ca="1" si="1"/>
        <v>80</v>
      </c>
      <c r="P14" s="300">
        <f t="shared" ref="P14:R14" ca="1" si="2">SUM(P11:P13)</f>
        <v>106</v>
      </c>
      <c r="Q14" s="300">
        <f t="shared" ca="1" si="2"/>
        <v>50</v>
      </c>
      <c r="R14" s="300">
        <f t="shared" ca="1" si="2"/>
        <v>67</v>
      </c>
      <c r="S14" s="300">
        <f t="shared" ref="S14" ca="1" si="3">SUM(S11:S13)</f>
        <v>52</v>
      </c>
      <c r="T14" s="300">
        <f t="shared" ca="1" si="1"/>
        <v>93</v>
      </c>
      <c r="U14" s="300">
        <f ca="1">'II. Upgrades &amp; Downgrades'!BY53</f>
        <v>90</v>
      </c>
      <c r="V14" s="300">
        <f ca="1">'II. Upgrades &amp; Downgrades'!CC53</f>
        <v>59</v>
      </c>
      <c r="W14" s="300">
        <v>52</v>
      </c>
    </row>
    <row r="15" spans="3:23">
      <c r="C15" s="31"/>
      <c r="D15" s="31"/>
      <c r="E15" s="31"/>
      <c r="F15" s="31"/>
      <c r="G15" s="31"/>
      <c r="H15" s="31"/>
      <c r="I15" s="31"/>
    </row>
    <row r="16" spans="3:23">
      <c r="C16" s="30" t="s">
        <v>2</v>
      </c>
      <c r="D16" s="31"/>
      <c r="E16" s="31"/>
      <c r="F16" s="31"/>
      <c r="G16" s="31"/>
      <c r="H16" s="31"/>
      <c r="I16" s="31"/>
    </row>
    <row r="17" spans="3:9">
      <c r="C17" s="9"/>
      <c r="D17" s="31"/>
      <c r="E17" s="31"/>
      <c r="F17" s="31"/>
      <c r="G17" s="31"/>
      <c r="H17" s="31"/>
      <c r="I17" s="31"/>
    </row>
    <row r="18" spans="3:9">
      <c r="C18" s="31"/>
      <c r="D18" s="31"/>
      <c r="E18" s="31"/>
      <c r="F18" s="31"/>
      <c r="G18" s="31"/>
      <c r="H18" s="31"/>
      <c r="I18" s="31"/>
    </row>
    <row r="19" spans="3:9">
      <c r="C19" s="31"/>
      <c r="D19" s="31"/>
      <c r="E19" s="31"/>
      <c r="F19" s="31"/>
      <c r="G19" s="31"/>
      <c r="H19" s="31"/>
      <c r="I19" s="31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-- 2018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Reg_Percent_2017</v>
      </c>
      <c r="G2" s="172" t="s">
        <v>343</v>
      </c>
      <c r="AJ2" s="173" t="str">
        <f>AJ4 &amp; AJ3</f>
        <v>'Credit_2018Q1'!d:d</v>
      </c>
      <c r="AK2" s="173" t="str">
        <f>AK4 &amp; AK3</f>
        <v>'Credit_2018Q1'!b1</v>
      </c>
      <c r="AL2" s="173" t="str">
        <f>AL4 &amp; AL3</f>
        <v>'Credit_2018Q1'!c1</v>
      </c>
      <c r="AQ2" s="169"/>
    </row>
    <row r="3" spans="1:61" ht="18" hidden="1" outlineLevel="1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'Credit_2018Q1'!</v>
      </c>
      <c r="AK4" s="169" t="str">
        <f t="shared" ref="AK4:AL4" si="0">$AQ$5</f>
        <v>'Credit_2018Q1'!</v>
      </c>
      <c r="AL4" s="169" t="str">
        <f t="shared" si="0"/>
        <v>'Credit_2018Q1'!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(47)</v>
      </c>
      <c r="M5" s="359"/>
      <c r="N5" s="230"/>
      <c r="O5" s="357" t="str">
        <f ca="1">"Regulated" &amp; CHAR( 10 ) &amp; "(" &amp; O14 &amp; ")"</f>
        <v>Regulated
(34)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350</v>
      </c>
    </row>
    <row r="6" spans="1:61" ht="28.5" customHeight="1">
      <c r="A6" s="219" t="s">
        <v>212</v>
      </c>
      <c r="B6" s="220" t="s">
        <v>73</v>
      </c>
      <c r="C6" s="249" t="s">
        <v>214</v>
      </c>
      <c r="D6" s="221"/>
      <c r="E6" s="222">
        <f ca="1">INDIRECT( E3 &amp; G1 )</f>
        <v>43100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65"/>
      <c r="G8" s="366">
        <f t="shared" ca="1" si="1"/>
        <v>56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15</v>
      </c>
      <c r="M10" s="216">
        <f t="shared" si="10"/>
        <v>0.31914893617021278</v>
      </c>
      <c r="N10" s="234"/>
      <c r="O10" s="215">
        <f t="shared" ca="1" si="11"/>
        <v>8</v>
      </c>
      <c r="P10" s="216">
        <f t="shared" ca="1" si="12"/>
        <v>0.23529411764705882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11</v>
      </c>
      <c r="M11" s="216">
        <f t="shared" si="10"/>
        <v>0.23404255319148937</v>
      </c>
      <c r="N11" s="234"/>
      <c r="O11" s="215">
        <f t="shared" ca="1" si="11"/>
        <v>10</v>
      </c>
      <c r="P11" s="216">
        <f t="shared" ca="1" si="12"/>
        <v>0.29411764705882354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11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31</v>
      </c>
      <c r="AW12" s="168">
        <f>COUNTIF( AV$7:AV12, AV12 )</f>
        <v>1</v>
      </c>
      <c r="AX12" s="208">
        <f t="shared" si="22"/>
        <v>31.1</v>
      </c>
      <c r="AY12" s="168">
        <f t="shared" si="23"/>
        <v>31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230</v>
      </c>
      <c r="B14" s="224" t="s">
        <v>139</v>
      </c>
      <c r="C14" s="224">
        <v>20</v>
      </c>
      <c r="D14" s="224" t="s">
        <v>231</v>
      </c>
      <c r="E14" s="225" t="str">
        <f t="shared" ca="1" si="8"/>
        <v>R</v>
      </c>
      <c r="F14" s="365"/>
      <c r="G14" s="366">
        <f t="shared" ca="1" si="1"/>
        <v>23</v>
      </c>
      <c r="H14" s="367"/>
      <c r="I14" s="236"/>
      <c r="J14" s="211" t="s">
        <v>144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18.957446808510639</v>
      </c>
      <c r="Z14" s="190"/>
      <c r="AA14" s="189">
        <f ca="1">SUM(AA8:AA13)</f>
        <v>47</v>
      </c>
      <c r="AE14" s="184"/>
      <c r="AF14" s="169">
        <f t="shared" si="2"/>
        <v>1</v>
      </c>
      <c r="AG14" s="169">
        <f t="shared" ca="1" si="3"/>
        <v>1</v>
      </c>
      <c r="AH14" s="169" t="str">
        <f t="shared" ca="1" si="18"/>
        <v/>
      </c>
      <c r="AJ14" s="169">
        <f t="shared" ca="1" si="19"/>
        <v>38</v>
      </c>
      <c r="AK14" s="169" t="str">
        <f t="shared" ca="1" si="20"/>
        <v>BBB+</v>
      </c>
      <c r="AL14" s="169">
        <f t="shared" ca="1" si="20"/>
        <v>19</v>
      </c>
      <c r="AM14" s="169" t="str">
        <f t="shared" ca="1" si="4"/>
        <v>Change</v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31</v>
      </c>
      <c r="AW14" s="168">
        <f>COUNTIF( AV$7:AV14, AV14 )</f>
        <v>2</v>
      </c>
      <c r="AX14" s="208">
        <f t="shared" si="22"/>
        <v>31.2</v>
      </c>
      <c r="AY14" s="168">
        <f t="shared" si="23"/>
        <v>32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9">
      <c r="A15" s="223" t="s">
        <v>240</v>
      </c>
      <c r="B15" s="224" t="s">
        <v>139</v>
      </c>
      <c r="C15" s="224">
        <v>20</v>
      </c>
      <c r="D15" s="224" t="s">
        <v>241</v>
      </c>
      <c r="E15" s="225" t="str">
        <f t="shared" ca="1" si="8"/>
        <v>MR</v>
      </c>
      <c r="F15" s="365"/>
      <c r="G15" s="366">
        <f t="shared" ca="1" si="1"/>
        <v>31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19.021276595744681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18.882352941176471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19.384615384615383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65"/>
      <c r="G17" s="366">
        <f t="shared" ca="1" si="1"/>
        <v>40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9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65"/>
      <c r="G18" s="366">
        <f t="shared" ca="1" si="1"/>
        <v>44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9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9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9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9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65"/>
      <c r="G22" s="366">
        <f t="shared" ca="1" si="1"/>
        <v>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9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65"/>
      <c r="G23" s="366">
        <f t="shared" ca="1" si="1"/>
        <v>9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31</v>
      </c>
      <c r="AW24" s="168">
        <f>COUNTIF( AV$7:AV24, AV24 )</f>
        <v>3</v>
      </c>
      <c r="AX24" s="208">
        <f t="shared" si="22"/>
        <v>31.3</v>
      </c>
      <c r="AY24" s="168">
        <f t="shared" si="23"/>
        <v>33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65"/>
      <c r="G28" s="366">
        <f t="shared" ca="1" si="1"/>
        <v>20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31</v>
      </c>
      <c r="AW28" s="168">
        <f>COUNTIF( AV$7:AV28, AV28 )</f>
        <v>4</v>
      </c>
      <c r="AX28" s="208">
        <f t="shared" si="22"/>
        <v>31.4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9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65"/>
      <c r="G29" s="366">
        <f t="shared" ca="1" si="1"/>
        <v>22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42</v>
      </c>
      <c r="AW29" s="168">
        <f>COUNTIF( AV$7:AV29, AV29 )</f>
        <v>3</v>
      </c>
      <c r="AX29" s="208">
        <f t="shared" si="22"/>
        <v>42.3</v>
      </c>
      <c r="AY29" s="168">
        <f t="shared" si="23"/>
        <v>44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9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65"/>
      <c r="G30" s="366">
        <f t="shared" ca="1" si="1"/>
        <v>29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42</v>
      </c>
      <c r="AW30" s="168">
        <f>COUNTIF( AV$7:AV30, AV30 )</f>
        <v>4</v>
      </c>
      <c r="AX30" s="208">
        <f t="shared" si="22"/>
        <v>42.4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9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65"/>
      <c r="G31" s="366">
        <f t="shared" ca="1" si="1"/>
        <v>32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31</v>
      </c>
      <c r="AW31" s="168">
        <f>COUNTIF( AV$7:AV31, AV31 )</f>
        <v>5</v>
      </c>
      <c r="AX31" s="208">
        <f t="shared" si="22"/>
        <v>31.5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9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>
        <f t="shared" ca="1" si="18"/>
        <v>1</v>
      </c>
      <c r="AJ32" s="169">
        <f t="shared" ca="1" si="19"/>
        <v>15</v>
      </c>
      <c r="AK32" s="169" t="str">
        <f t="shared" ca="1" si="20"/>
        <v>A-</v>
      </c>
      <c r="AL32" s="169">
        <f t="shared" ca="1" si="20"/>
        <v>20</v>
      </c>
      <c r="AM32" s="169" t="str">
        <f t="shared" ca="1" si="4"/>
        <v>Change</v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31</v>
      </c>
      <c r="AW32" s="168">
        <f>COUNTIF( AV$7:AV32, AV32 )</f>
        <v>6</v>
      </c>
      <c r="AX32" s="208">
        <f t="shared" si="22"/>
        <v>31.6</v>
      </c>
      <c r="AY32" s="168">
        <f t="shared" si="23"/>
        <v>36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9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9</v>
      </c>
      <c r="AX33" s="208">
        <f t="shared" si="22"/>
        <v>16.899999999999999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9">
      <c r="A34" s="223" t="s">
        <v>289</v>
      </c>
      <c r="B34" s="224" t="s">
        <v>140</v>
      </c>
      <c r="C34" s="224">
        <v>19</v>
      </c>
      <c r="D34" s="224" t="s">
        <v>290</v>
      </c>
      <c r="E34" s="225" t="str">
        <f t="shared" ca="1" si="8"/>
        <v>MR</v>
      </c>
      <c r="F34" s="365"/>
      <c r="G34" s="366">
        <f t="shared" ca="1" si="1"/>
        <v>41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38</v>
      </c>
      <c r="BF34" s="173" t="str">
        <f t="shared" ca="1" si="7"/>
        <v>Public Service Enterprise Group Incorporated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PEG</v>
      </c>
    </row>
    <row r="35" spans="1:61" ht="13.9">
      <c r="A35" s="223" t="s">
        <v>291</v>
      </c>
      <c r="B35" s="224" t="s">
        <v>140</v>
      </c>
      <c r="C35" s="224">
        <v>19</v>
      </c>
      <c r="D35" s="224" t="s">
        <v>292</v>
      </c>
      <c r="E35" s="225" t="str">
        <f t="shared" ca="1" si="8"/>
        <v>MR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10</v>
      </c>
      <c r="AX35" s="208">
        <f t="shared" si="22"/>
        <v>17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41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3.9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65"/>
      <c r="G36" s="366">
        <f t="shared" ca="1" si="1"/>
        <v>45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31</v>
      </c>
      <c r="AW36" s="168">
        <f>COUNTIF( AV$7:AV36, AV36 )</f>
        <v>7</v>
      </c>
      <c r="AX36" s="208">
        <f t="shared" si="22"/>
        <v>31.7</v>
      </c>
      <c r="AY36" s="168">
        <f t="shared" si="23"/>
        <v>37</v>
      </c>
      <c r="AZ36" s="169"/>
      <c r="BA36" s="169"/>
      <c r="BC36" s="168">
        <f t="shared" ca="1" si="24"/>
        <v>30</v>
      </c>
      <c r="BD36" s="209">
        <f t="shared" ca="1" si="6"/>
        <v>43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UTL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8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16</v>
      </c>
      <c r="AW37" s="168">
        <f>COUNTIF( AV$7:AV37, AV37 )</f>
        <v>11</v>
      </c>
      <c r="AX37" s="208">
        <f t="shared" si="22"/>
        <v>17.100000000000001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6</v>
      </c>
      <c r="BF37" s="173" t="str">
        <f t="shared" ca="1" si="7"/>
        <v>Avista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AVA</v>
      </c>
    </row>
    <row r="38" spans="1:61" ht="13.9">
      <c r="A38" s="223" t="s">
        <v>245</v>
      </c>
      <c r="B38" s="224" t="s">
        <v>141</v>
      </c>
      <c r="C38" s="224">
        <v>18</v>
      </c>
      <c r="D38" s="224" t="s">
        <v>246</v>
      </c>
      <c r="E38" s="225" t="str">
        <f t="shared" ca="1" si="8"/>
        <v>R</v>
      </c>
      <c r="F38" s="365"/>
      <c r="G38" s="366">
        <f t="shared" ca="1" si="1"/>
        <v>13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31</v>
      </c>
      <c r="AW38" s="168">
        <f>COUNTIF( AV$7:AV38, AV38 )</f>
        <v>8</v>
      </c>
      <c r="AX38" s="208">
        <f t="shared" si="22"/>
        <v>31.8</v>
      </c>
      <c r="AY38" s="168">
        <f t="shared" si="23"/>
        <v>38</v>
      </c>
      <c r="AZ38" s="169"/>
      <c r="BA38" s="169"/>
      <c r="BC38" s="168">
        <f t="shared" ca="1" si="24"/>
        <v>32</v>
      </c>
      <c r="BD38" s="209">
        <f t="shared" ca="1" si="6"/>
        <v>8</v>
      </c>
      <c r="BF38" s="173" t="str">
        <f t="shared" ca="1" si="7"/>
        <v>Black Hills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BKH</v>
      </c>
    </row>
    <row r="39" spans="1:61" ht="13.9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8"/>
        <v>R</v>
      </c>
      <c r="F39" s="365"/>
      <c r="G39" s="366">
        <f t="shared" ca="1" si="1"/>
        <v>21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41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141</v>
      </c>
      <c r="AS39" s="207">
        <v>18</v>
      </c>
      <c r="AT39" s="207" t="s">
        <v>302</v>
      </c>
      <c r="AV39" s="168">
        <f t="shared" si="21"/>
        <v>31</v>
      </c>
      <c r="AW39" s="168">
        <f>COUNTIF( AV$7:AV39, AV39 )</f>
        <v>9</v>
      </c>
      <c r="AX39" s="208">
        <f t="shared" si="22"/>
        <v>31.9</v>
      </c>
      <c r="AY39" s="168">
        <f t="shared" si="23"/>
        <v>39</v>
      </c>
      <c r="AZ39" s="169"/>
      <c r="BA39" s="169"/>
      <c r="BC39" s="168">
        <f t="shared" ca="1" si="24"/>
        <v>33</v>
      </c>
      <c r="BD39" s="209">
        <f t="shared" ca="1" si="6"/>
        <v>18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9">
      <c r="A40" s="223" t="s">
        <v>269</v>
      </c>
      <c r="B40" s="224" t="s">
        <v>141</v>
      </c>
      <c r="C40" s="224">
        <v>18</v>
      </c>
      <c r="D40" s="224" t="s">
        <v>270</v>
      </c>
      <c r="E40" s="225" t="str">
        <f t="shared" ca="1" si="8"/>
        <v>MR</v>
      </c>
      <c r="F40" s="365"/>
      <c r="G40" s="366">
        <f t="shared" ca="1" si="1"/>
        <v>25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42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22</v>
      </c>
      <c r="BF40" s="173" t="str">
        <f t="shared" ca="1" si="25"/>
        <v>Exelon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EXC</v>
      </c>
    </row>
    <row r="41" spans="1:61" ht="13.9">
      <c r="A41" s="223" t="s">
        <v>283</v>
      </c>
      <c r="B41" s="224" t="s">
        <v>141</v>
      </c>
      <c r="C41" s="224">
        <v>18</v>
      </c>
      <c r="D41" s="224" t="s">
        <v>284</v>
      </c>
      <c r="E41" s="225" t="str">
        <f t="shared" ca="1" si="8"/>
        <v>R</v>
      </c>
      <c r="F41" s="365"/>
      <c r="G41" s="366">
        <f t="shared" ca="1" si="1"/>
        <v>28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12</v>
      </c>
      <c r="AX41" s="208">
        <f t="shared" si="22"/>
        <v>17.2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25</v>
      </c>
      <c r="BF41" s="173" t="str">
        <f t="shared" ca="1" si="25"/>
        <v>IDACORP, Inc.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IDA</v>
      </c>
    </row>
    <row r="42" spans="1:61" ht="13.9">
      <c r="A42" s="223" t="s">
        <v>287</v>
      </c>
      <c r="B42" s="224" t="s">
        <v>141</v>
      </c>
      <c r="C42" s="224">
        <v>18</v>
      </c>
      <c r="D42" s="224" t="s">
        <v>288</v>
      </c>
      <c r="E42" s="225" t="str">
        <f t="shared" ca="1" si="8"/>
        <v>R</v>
      </c>
      <c r="F42" s="365"/>
      <c r="G42" s="366">
        <f t="shared" ca="1" si="1"/>
        <v>55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141</v>
      </c>
      <c r="AS42" s="207">
        <v>18</v>
      </c>
      <c r="AT42" s="207" t="s">
        <v>286</v>
      </c>
      <c r="AV42" s="168">
        <f t="shared" si="21"/>
        <v>31</v>
      </c>
      <c r="AW42" s="168">
        <f>COUNTIF( AV$7:AV42, AV42 )</f>
        <v>10</v>
      </c>
      <c r="AX42" s="208">
        <f t="shared" si="22"/>
        <v>32</v>
      </c>
      <c r="AY42" s="168">
        <f t="shared" si="23"/>
        <v>40</v>
      </c>
      <c r="AZ42" s="169"/>
      <c r="BA42" s="169"/>
      <c r="BC42" s="168">
        <f t="shared" ca="1" si="24"/>
        <v>36</v>
      </c>
      <c r="BD42" s="209">
        <f t="shared" ca="1" si="6"/>
        <v>26</v>
      </c>
      <c r="BF42" s="173" t="str">
        <f t="shared" ca="1" si="25"/>
        <v>IPALCO Enterprises,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**IPALCO</v>
      </c>
    </row>
    <row r="43" spans="1:61" ht="13.9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8"/>
        <v>R</v>
      </c>
      <c r="F43" s="365"/>
      <c r="G43" s="366">
        <f t="shared" ca="1" si="1"/>
        <v>33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30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9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8"/>
        <v>R</v>
      </c>
      <c r="F44" s="365"/>
      <c r="G44" s="366">
        <f t="shared" ca="1" si="1"/>
        <v>35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13</v>
      </c>
      <c r="AX44" s="208">
        <f t="shared" si="22"/>
        <v>17.3</v>
      </c>
      <c r="AY44" s="168">
        <f t="shared" si="23"/>
        <v>28</v>
      </c>
      <c r="AZ44" s="169"/>
      <c r="BA44" s="169"/>
      <c r="BC44" s="168">
        <f t="shared" ca="1" si="24"/>
        <v>38</v>
      </c>
      <c r="BD44" s="209">
        <f t="shared" ca="1" si="6"/>
        <v>32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9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8"/>
        <v>R</v>
      </c>
      <c r="F45" s="365"/>
      <c r="G45" s="366">
        <f t="shared" ca="1" si="1"/>
        <v>36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>
        <f t="shared" ca="1" si="18"/>
        <v>1</v>
      </c>
      <c r="AJ45" s="169">
        <f t="shared" ca="1" si="19"/>
        <v>33</v>
      </c>
      <c r="AK45" s="169" t="str">
        <f t="shared" ca="1" si="20"/>
        <v>BBB+</v>
      </c>
      <c r="AL45" s="169">
        <f t="shared" ca="1" si="20"/>
        <v>19</v>
      </c>
      <c r="AM45" s="169" t="str">
        <f t="shared" ca="1" si="4"/>
        <v>Change</v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33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9">
      <c r="A46" s="223" t="s">
        <v>285</v>
      </c>
      <c r="B46" s="224" t="s">
        <v>141</v>
      </c>
      <c r="C46" s="224">
        <v>18</v>
      </c>
      <c r="D46" s="224" t="s">
        <v>286</v>
      </c>
      <c r="E46" s="225" t="str">
        <f t="shared" ca="1" si="8"/>
        <v>R</v>
      </c>
      <c r="F46" s="365"/>
      <c r="G46" s="366">
        <f t="shared" ca="1" si="1"/>
        <v>39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141</v>
      </c>
      <c r="AS46" s="207">
        <v>18</v>
      </c>
      <c r="AT46" s="207" t="s">
        <v>348</v>
      </c>
      <c r="AV46" s="168">
        <f t="shared" si="21"/>
        <v>31</v>
      </c>
      <c r="AW46" s="168">
        <f>COUNTIF( AV$7:AV46, AV46 )</f>
        <v>11</v>
      </c>
      <c r="AX46" s="208">
        <f t="shared" si="22"/>
        <v>32.1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6"/>
        <v>36</v>
      </c>
      <c r="BF46" s="173" t="str">
        <f t="shared" ca="1" si="25"/>
        <v>Portland General Electric Company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POR</v>
      </c>
    </row>
    <row r="47" spans="1:61" ht="13.9">
      <c r="A47" s="223" t="s">
        <v>347</v>
      </c>
      <c r="B47" s="224" t="s">
        <v>141</v>
      </c>
      <c r="C47" s="224">
        <v>18</v>
      </c>
      <c r="D47" s="224" t="s">
        <v>348</v>
      </c>
      <c r="E47" s="225" t="str">
        <f t="shared" ca="1" si="8"/>
        <v>R</v>
      </c>
      <c r="F47" s="365"/>
      <c r="G47" s="366">
        <f t="shared" ca="1" si="1"/>
        <v>42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14</v>
      </c>
      <c r="AX47" s="208">
        <f t="shared" si="22"/>
        <v>17.399999999999999</v>
      </c>
      <c r="AY47" s="168">
        <f t="shared" si="23"/>
        <v>29</v>
      </c>
      <c r="AZ47" s="169"/>
      <c r="BA47" s="169"/>
      <c r="BC47" s="168">
        <f t="shared" ca="1" si="24"/>
        <v>41</v>
      </c>
      <c r="BD47" s="209">
        <f t="shared" ca="1" si="6"/>
        <v>40</v>
      </c>
      <c r="BF47" s="173" t="str">
        <f t="shared" ca="1" si="25"/>
        <v>SCANA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SCG</v>
      </c>
    </row>
    <row r="48" spans="1:61" ht="13.9">
      <c r="A48" s="223" t="s">
        <v>254</v>
      </c>
      <c r="B48" s="224" t="s">
        <v>142</v>
      </c>
      <c r="C48" s="224">
        <v>17</v>
      </c>
      <c r="D48" s="224" t="s">
        <v>255</v>
      </c>
      <c r="E48" s="225" t="str">
        <f t="shared" ca="1" si="8"/>
        <v>R</v>
      </c>
      <c r="F48" s="365"/>
      <c r="G48" s="366">
        <f t="shared" ca="1" si="1"/>
        <v>53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9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15</v>
      </c>
      <c r="AX49" s="208">
        <f t="shared" si="22"/>
        <v>17.5</v>
      </c>
      <c r="AY49" s="168">
        <f t="shared" si="23"/>
        <v>30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65"/>
      <c r="G50" s="366">
        <f t="shared" ca="1" si="1"/>
        <v>26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23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65"/>
      <c r="G51" s="366">
        <f t="shared" ca="1" si="1"/>
        <v>27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247</v>
      </c>
      <c r="AR51" s="207" t="s">
        <v>139</v>
      </c>
      <c r="AS51" s="207">
        <v>20</v>
      </c>
      <c r="AT51" s="207" t="s">
        <v>248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9">
      <c r="A52" s="223" t="s">
        <v>305</v>
      </c>
      <c r="B52" s="224" t="s">
        <v>142</v>
      </c>
      <c r="C52" s="224">
        <v>17</v>
      </c>
      <c r="D52" s="224" t="s">
        <v>306</v>
      </c>
      <c r="E52" s="225" t="str">
        <f t="shared" ca="1" si="8"/>
        <v>R</v>
      </c>
      <c r="F52" s="365"/>
      <c r="G52" s="366">
        <f t="shared" ca="1" si="1"/>
        <v>57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251</v>
      </c>
      <c r="AR52" s="207" t="s">
        <v>139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19.021276595744681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18.957446808510639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-- 2018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Reg_Percent_2017</v>
      </c>
      <c r="G2" s="172" t="s">
        <v>343</v>
      </c>
      <c r="AJ2" s="173" t="str">
        <f>AJ4 &amp; AJ3</f>
        <v>'Credit_2017Q4'!d:d</v>
      </c>
      <c r="AK2" s="173" t="str">
        <f>AK4 &amp; AK3</f>
        <v>'Credit_2017Q4'!b1</v>
      </c>
      <c r="AL2" s="173" t="str">
        <f>AL4 &amp; AL3</f>
        <v>'Credit_2017Q4'!c1</v>
      </c>
      <c r="AQ2" s="169"/>
    </row>
    <row r="3" spans="1:61" ht="18" hidden="1" outlineLevel="1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'Credit_2017Q4'!</v>
      </c>
      <c r="AK4" s="169" t="str">
        <f t="shared" ref="AK4:AL4" si="0">$AQ$5</f>
        <v>'Credit_2017Q4'!</v>
      </c>
      <c r="AL4" s="169" t="str">
        <f t="shared" si="0"/>
        <v>'Credit_2017Q4'!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(48)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351</v>
      </c>
    </row>
    <row r="6" spans="1:61" ht="28.5" customHeight="1">
      <c r="A6" s="219" t="s">
        <v>212</v>
      </c>
      <c r="B6" s="220" t="s">
        <v>72</v>
      </c>
      <c r="C6" s="249" t="s">
        <v>214</v>
      </c>
      <c r="D6" s="221"/>
      <c r="E6" s="222">
        <f ca="1">INDIRECT( E3 &amp; G1 )</f>
        <v>43100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65"/>
      <c r="G8" s="366">
        <f t="shared" ca="1" si="1"/>
        <v>56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6.25E-2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0.27083333333333331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0.35416666666666669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10</v>
      </c>
      <c r="M11" s="216">
        <f t="shared" si="10"/>
        <v>0.20833333333333334</v>
      </c>
      <c r="N11" s="234"/>
      <c r="O11" s="215">
        <f t="shared" ca="1" si="11"/>
        <v>9</v>
      </c>
      <c r="P11" s="216">
        <f t="shared" ca="1" si="12"/>
        <v>0.25714285714285712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10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0.10416666666666667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31</v>
      </c>
      <c r="H14" s="367"/>
      <c r="I14" s="236"/>
      <c r="J14" s="211" t="s">
        <v>144</v>
      </c>
      <c r="K14" s="236"/>
      <c r="L14" s="211">
        <f>SUM(L8:L13)</f>
        <v>48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18.979166666666668</v>
      </c>
      <c r="Z14" s="190"/>
      <c r="AA14" s="189">
        <f ca="1">SUM(AA8:AA13)</f>
        <v>48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33</v>
      </c>
      <c r="AW14" s="168">
        <f>COUNTIF( AV$7:AV14, AV14 )</f>
        <v>2</v>
      </c>
      <c r="AX14" s="208">
        <f t="shared" si="22"/>
        <v>33.200000000000003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34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19.041666666666668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18.914285714285715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19.384615384615383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65"/>
      <c r="G17" s="366">
        <f t="shared" ca="1" si="1"/>
        <v>40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9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65"/>
      <c r="G18" s="366">
        <f t="shared" ca="1" si="1"/>
        <v>44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19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9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65"/>
      <c r="G19" s="366">
        <f t="shared" ca="1" si="1"/>
        <v>46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20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9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21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43</v>
      </c>
      <c r="AW20" s="168">
        <f>COUNTIF( AV$7:AV20, AV20 )</f>
        <v>2</v>
      </c>
      <c r="AX20" s="208">
        <f t="shared" si="22"/>
        <v>43.2</v>
      </c>
      <c r="AY20" s="168">
        <f t="shared" si="23"/>
        <v>44</v>
      </c>
      <c r="AZ20" s="169"/>
      <c r="BA20" s="169"/>
      <c r="BC20" s="168">
        <f t="shared" ca="1" si="24"/>
        <v>14</v>
      </c>
      <c r="BD20" s="209">
        <f t="shared" ca="1" si="6"/>
        <v>46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9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9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65"/>
      <c r="G22" s="366">
        <f t="shared" ca="1" si="1"/>
        <v>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9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65"/>
      <c r="G23" s="366">
        <f t="shared" ca="1" si="1"/>
        <v>9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33</v>
      </c>
      <c r="AW24" s="168">
        <f>COUNTIF( AV$7:AV24, AV24 )</f>
        <v>3</v>
      </c>
      <c r="AX24" s="208">
        <f t="shared" si="22"/>
        <v>33.299999999999997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164</v>
      </c>
      <c r="AS26" s="207">
        <v>22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33</v>
      </c>
      <c r="AW27" s="168">
        <f>COUNTIF( AV$7:AV27, AV27 )</f>
        <v>4</v>
      </c>
      <c r="AX27" s="208">
        <f t="shared" si="22"/>
        <v>33.4</v>
      </c>
      <c r="AY27" s="168">
        <f t="shared" si="23"/>
        <v>36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65"/>
      <c r="G28" s="366">
        <f t="shared" ca="1" si="1"/>
        <v>20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3</v>
      </c>
      <c r="AX28" s="208">
        <f t="shared" si="22"/>
        <v>43.3</v>
      </c>
      <c r="AY28" s="168">
        <f t="shared" si="23"/>
        <v>45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9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65"/>
      <c r="G29" s="366">
        <f t="shared" ca="1" si="1"/>
        <v>22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9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65"/>
      <c r="G30" s="366">
        <f t="shared" ca="1" si="1"/>
        <v>50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4</v>
      </c>
      <c r="AX30" s="208">
        <f t="shared" si="22"/>
        <v>43.4</v>
      </c>
      <c r="AY30" s="168">
        <f t="shared" si="23"/>
        <v>46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9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65"/>
      <c r="G31" s="366">
        <f t="shared" ca="1" si="1"/>
        <v>29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9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65"/>
      <c r="G32" s="366">
        <f t="shared" ca="1" si="1"/>
        <v>32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9">
      <c r="A33" s="223" t="s">
        <v>301</v>
      </c>
      <c r="B33" s="224" t="s">
        <v>140</v>
      </c>
      <c r="C33" s="224">
        <v>19</v>
      </c>
      <c r="D33" s="224" t="s">
        <v>302</v>
      </c>
      <c r="E33" s="225" t="str">
        <f t="shared" ca="1" si="8"/>
        <v>R</v>
      </c>
      <c r="F33" s="365"/>
      <c r="G33" s="366">
        <f t="shared" ca="1" si="1"/>
        <v>36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8"/>
        <v>1</v>
      </c>
      <c r="AJ33" s="169">
        <f t="shared" ca="1" si="19"/>
        <v>16</v>
      </c>
      <c r="AK33" s="169" t="str">
        <f t="shared" ca="1" si="20"/>
        <v>A-</v>
      </c>
      <c r="AL33" s="169">
        <f t="shared" ca="1" si="20"/>
        <v>20</v>
      </c>
      <c r="AM33" s="169" t="str">
        <f t="shared" ca="1" si="4"/>
        <v>Change</v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33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9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65"/>
      <c r="G34" s="366">
        <f t="shared" ca="1" si="1"/>
        <v>38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41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MR</v>
      </c>
      <c r="F36" s="365"/>
      <c r="G36" s="366">
        <f t="shared" ca="1" si="1"/>
        <v>43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45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43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9">
      <c r="A38" s="343" t="s">
        <v>354</v>
      </c>
      <c r="B38" s="344" t="s">
        <v>140</v>
      </c>
      <c r="C38" s="344">
        <v>19</v>
      </c>
      <c r="D38" s="319" t="s">
        <v>231</v>
      </c>
      <c r="E38" s="345" t="str">
        <f t="shared" ca="1" si="8"/>
        <v>R</v>
      </c>
      <c r="F38" s="365"/>
      <c r="G38" s="366">
        <f t="shared" ca="1" si="1"/>
        <v>23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>
        <f t="shared" ca="1" si="18"/>
        <v>1</v>
      </c>
      <c r="AJ38" s="169" t="e">
        <f t="shared" ca="1" si="19"/>
        <v>#N/A</v>
      </c>
      <c r="AK38" s="169" t="str">
        <f t="shared" ca="1" si="20"/>
        <v/>
      </c>
      <c r="AL38" s="169" t="str">
        <f t="shared" ca="1" si="20"/>
        <v/>
      </c>
      <c r="AM38" s="169" t="str">
        <f t="shared" ca="1" si="4"/>
        <v>Change</v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45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3.9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65"/>
      <c r="G39" s="366">
        <f t="shared" ca="1" si="1"/>
        <v>12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140</v>
      </c>
      <c r="AS39" s="207">
        <v>19</v>
      </c>
      <c r="AT39" s="207" t="s">
        <v>302</v>
      </c>
      <c r="AV39" s="168">
        <f t="shared" si="21"/>
        <v>16</v>
      </c>
      <c r="AW39" s="168">
        <f>COUNTIF( AV$7:AV39, AV39 )</f>
        <v>12</v>
      </c>
      <c r="AX39" s="208">
        <f t="shared" si="22"/>
        <v>17.2</v>
      </c>
      <c r="AY39" s="168">
        <f t="shared" si="23"/>
        <v>27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9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65"/>
      <c r="G40" s="366">
        <f t="shared" ca="1" si="1"/>
        <v>13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9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65"/>
      <c r="G41" s="366">
        <f t="shared" ca="1" si="1"/>
        <v>21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9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65"/>
      <c r="G42" s="366">
        <f t="shared" ca="1" si="1"/>
        <v>25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141</v>
      </c>
      <c r="AS42" s="207">
        <v>18</v>
      </c>
      <c r="AT42" s="207" t="s">
        <v>286</v>
      </c>
      <c r="AV42" s="168">
        <f t="shared" si="21"/>
        <v>33</v>
      </c>
      <c r="AW42" s="168">
        <f>COUNTIF( AV$7:AV42, AV42 )</f>
        <v>9</v>
      </c>
      <c r="AX42" s="208">
        <f t="shared" si="22"/>
        <v>33.9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21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9">
      <c r="A43" s="223" t="s">
        <v>283</v>
      </c>
      <c r="B43" s="224" t="s">
        <v>141</v>
      </c>
      <c r="C43" s="224">
        <v>18</v>
      </c>
      <c r="D43" s="224" t="s">
        <v>284</v>
      </c>
      <c r="E43" s="225" t="str">
        <f t="shared" ca="1" si="8"/>
        <v>R</v>
      </c>
      <c r="F43" s="365"/>
      <c r="G43" s="366">
        <f t="shared" ca="1" si="1"/>
        <v>28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3.9">
      <c r="A44" s="223" t="s">
        <v>287</v>
      </c>
      <c r="B44" s="224" t="s">
        <v>141</v>
      </c>
      <c r="C44" s="224">
        <v>18</v>
      </c>
      <c r="D44" s="224" t="s">
        <v>288</v>
      </c>
      <c r="E44" s="225" t="str">
        <f t="shared" ca="1" si="8"/>
        <v>R</v>
      </c>
      <c r="F44" s="365"/>
      <c r="G44" s="366">
        <f t="shared" ca="1" si="1"/>
        <v>55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>
        <f t="shared" ca="1" si="3"/>
        <v>1</v>
      </c>
      <c r="AH44" s="169" t="str">
        <f t="shared" ca="1" si="18"/>
        <v/>
      </c>
      <c r="AJ44" s="169">
        <f t="shared" ca="1" si="19"/>
        <v>52</v>
      </c>
      <c r="AK44" s="169" t="str">
        <f t="shared" ca="1" si="20"/>
        <v>BBB-</v>
      </c>
      <c r="AL44" s="169">
        <f t="shared" ca="1" si="20"/>
        <v>17</v>
      </c>
      <c r="AM44" s="169" t="str">
        <f t="shared" ca="1" si="4"/>
        <v>Change</v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14</v>
      </c>
      <c r="AX44" s="208">
        <f t="shared" si="22"/>
        <v>17.399999999999999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3.9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65"/>
      <c r="G45" s="366">
        <f t="shared" ca="1" si="1"/>
        <v>33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43</v>
      </c>
      <c r="AW45" s="168">
        <f>COUNTIF( AV$7:AV45, AV45 )</f>
        <v>5</v>
      </c>
      <c r="AX45" s="208">
        <f t="shared" si="22"/>
        <v>43.5</v>
      </c>
      <c r="AY45" s="168">
        <f t="shared" si="23"/>
        <v>47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9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65"/>
      <c r="G46" s="366">
        <f t="shared" ca="1" si="1"/>
        <v>35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141</v>
      </c>
      <c r="AS46" s="207">
        <v>18</v>
      </c>
      <c r="AT46" s="207" t="s">
        <v>348</v>
      </c>
      <c r="AV46" s="168">
        <f t="shared" si="21"/>
        <v>33</v>
      </c>
      <c r="AW46" s="168">
        <f>COUNTIF( AV$7:AV46, AV46 )</f>
        <v>10</v>
      </c>
      <c r="AX46" s="208">
        <f t="shared" si="22"/>
        <v>34</v>
      </c>
      <c r="AY46" s="168">
        <f t="shared" si="23"/>
        <v>42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9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8"/>
        <v>R</v>
      </c>
      <c r="F47" s="365"/>
      <c r="G47" s="366">
        <f t="shared" ca="1" si="1"/>
        <v>39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15</v>
      </c>
      <c r="AX47" s="208">
        <f t="shared" si="22"/>
        <v>17.5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9">
      <c r="A48" s="223" t="s">
        <v>347</v>
      </c>
      <c r="B48" s="224" t="s">
        <v>141</v>
      </c>
      <c r="C48" s="224">
        <v>18</v>
      </c>
      <c r="D48" s="224" t="s">
        <v>348</v>
      </c>
      <c r="E48" s="225" t="str">
        <f t="shared" ca="1" si="8"/>
        <v>R</v>
      </c>
      <c r="F48" s="365"/>
      <c r="G48" s="366">
        <f t="shared" ca="1" si="1"/>
        <v>42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40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3.9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65"/>
      <c r="G49" s="366">
        <f t="shared" ca="1" si="1"/>
        <v>53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16</v>
      </c>
      <c r="AX49" s="208">
        <f t="shared" si="22"/>
        <v>17.600000000000001</v>
      </c>
      <c r="AY49" s="168">
        <f t="shared" si="23"/>
        <v>31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9">
      <c r="A50" s="223" t="s">
        <v>259</v>
      </c>
      <c r="B50" s="224" t="s">
        <v>142</v>
      </c>
      <c r="C50" s="224">
        <v>17</v>
      </c>
      <c r="D50" s="224" t="s">
        <v>260</v>
      </c>
      <c r="E50" s="225" t="str">
        <f t="shared" ca="1" si="8"/>
        <v>R</v>
      </c>
      <c r="F50" s="365"/>
      <c r="G50" s="366">
        <f t="shared" ca="1" si="1"/>
        <v>54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>
        <f t="shared" ca="1" si="3"/>
        <v>1</v>
      </c>
      <c r="AH50" s="169" t="str">
        <f t="shared" ca="1" si="18"/>
        <v/>
      </c>
      <c r="AJ50" s="169">
        <f t="shared" ca="1" si="19"/>
        <v>54</v>
      </c>
      <c r="AK50" s="169" t="str">
        <f t="shared" ca="1" si="20"/>
        <v>BB</v>
      </c>
      <c r="AL50" s="169">
        <f t="shared" ca="1" si="20"/>
        <v>15</v>
      </c>
      <c r="AM50" s="169" t="str">
        <f t="shared" ca="1" si="4"/>
        <v>Change</v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14</v>
      </c>
      <c r="BF50" s="173" t="str">
        <f t="shared" ca="1" si="25"/>
        <v>DPL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**DPL</v>
      </c>
    </row>
    <row r="51" spans="1:61" ht="13.9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R</v>
      </c>
      <c r="F51" s="365"/>
      <c r="G51" s="366">
        <f t="shared" ca="1" si="1"/>
        <v>26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354</v>
      </c>
      <c r="AR51" s="207" t="s">
        <v>140</v>
      </c>
      <c r="AS51" s="207">
        <v>19</v>
      </c>
      <c r="AT51" s="207" t="s">
        <v>355</v>
      </c>
      <c r="AV51" s="168">
        <f t="shared" si="21"/>
        <v>16</v>
      </c>
      <c r="AW51" s="168">
        <f>COUNTIF( AV$7:AV51, AV51 )</f>
        <v>17</v>
      </c>
      <c r="AX51" s="208">
        <f t="shared" si="22"/>
        <v>17.7</v>
      </c>
      <c r="AY51" s="168">
        <f t="shared" si="23"/>
        <v>32</v>
      </c>
      <c r="AZ51" s="169"/>
      <c r="BA51" s="169"/>
      <c r="BC51" s="168">
        <f t="shared" ca="1" si="24"/>
        <v>45</v>
      </c>
      <c r="BD51" s="209">
        <f t="shared" ca="1" si="6"/>
        <v>22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9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MR</v>
      </c>
      <c r="F52" s="365"/>
      <c r="G52" s="366">
        <f t="shared" ca="1" si="1"/>
        <v>27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247</v>
      </c>
      <c r="AR52" s="207" t="s">
        <v>139</v>
      </c>
      <c r="AS52" s="207">
        <v>20</v>
      </c>
      <c r="AT52" s="207" t="s">
        <v>248</v>
      </c>
      <c r="AV52" s="168">
        <f t="shared" si="21"/>
        <v>3</v>
      </c>
      <c r="AW52" s="168">
        <f>COUNTIF( AV$7:AV52, AV52 )</f>
        <v>12</v>
      </c>
      <c r="AX52" s="208">
        <f t="shared" si="22"/>
        <v>4.2</v>
      </c>
      <c r="AY52" s="168">
        <f t="shared" si="23"/>
        <v>14</v>
      </c>
      <c r="AZ52" s="169"/>
      <c r="BA52" s="169"/>
      <c r="BC52" s="168">
        <f t="shared" ca="1" si="24"/>
        <v>46</v>
      </c>
      <c r="BD52" s="209">
        <f t="shared" ca="1" si="6"/>
        <v>24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9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65"/>
      <c r="G53" s="366">
        <f t="shared" ca="1" si="1"/>
        <v>57</v>
      </c>
      <c r="H53" s="367"/>
      <c r="I53" s="367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251</v>
      </c>
      <c r="AR53" s="207" t="s">
        <v>139</v>
      </c>
      <c r="AS53" s="207">
        <v>20</v>
      </c>
      <c r="AT53" s="207" t="s">
        <v>252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39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1</v>
      </c>
      <c r="AX54" s="208">
        <f t="shared" si="22"/>
        <v>99.1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 t="str">
        <f t="shared" ca="1" si="8"/>
        <v/>
      </c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2</v>
      </c>
      <c r="AX55" s="208">
        <f t="shared" si="22"/>
        <v>99.2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3</v>
      </c>
      <c r="AX56" s="208">
        <f t="shared" si="22"/>
        <v>99.3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4</v>
      </c>
      <c r="AX57" s="208">
        <f t="shared" si="22"/>
        <v>99.4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5</v>
      </c>
      <c r="AX58" s="208">
        <f t="shared" si="22"/>
        <v>99.5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6</v>
      </c>
      <c r="AX59" s="208">
        <f t="shared" si="22"/>
        <v>99.6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7</v>
      </c>
      <c r="AX60" s="208">
        <f t="shared" si="22"/>
        <v>99.7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30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8</v>
      </c>
      <c r="AX61" s="208">
        <f t="shared" si="22"/>
        <v>99.8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9</v>
      </c>
      <c r="AX62" s="208">
        <f t="shared" si="22"/>
        <v>99.9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10</v>
      </c>
      <c r="AX63" s="208">
        <f t="shared" si="22"/>
        <v>100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19.041666666666668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18.979166666666668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-- 2017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Reg_Percent_2016</v>
      </c>
      <c r="G2" s="172" t="s">
        <v>356</v>
      </c>
      <c r="AJ2" s="173" t="str">
        <f>AJ4 &amp; AJ3</f>
        <v>'Credit_2017Q3'!d:d</v>
      </c>
      <c r="AK2" s="173" t="str">
        <f>AK4 &amp; AK3</f>
        <v>'Credit_2017Q3'!b1</v>
      </c>
      <c r="AL2" s="173" t="str">
        <f>AL4 &amp; AL3</f>
        <v>'Credit_2017Q3'!c1</v>
      </c>
      <c r="AQ2" s="169"/>
    </row>
    <row r="3" spans="1:61" ht="18" hidden="1" outlineLevel="1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'Credit_2017Q3'!</v>
      </c>
      <c r="AK4" s="169" t="str">
        <f t="shared" ref="AK4:AL4" si="0">$AQ$5</f>
        <v>'Credit_2017Q3'!</v>
      </c>
      <c r="AL4" s="169" t="str">
        <f t="shared" si="0"/>
        <v>'Credit_2017Q3'!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(49)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(14)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357</v>
      </c>
    </row>
    <row r="6" spans="1:61" ht="28.5" customHeight="1">
      <c r="A6" s="219" t="s">
        <v>212</v>
      </c>
      <c r="B6" s="220" t="s">
        <v>71</v>
      </c>
      <c r="C6" s="249" t="s">
        <v>214</v>
      </c>
      <c r="D6" s="221"/>
      <c r="E6" s="222">
        <f ca="1">INDIRECT( E3 &amp; G1 )</f>
        <v>42735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24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>Change</v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9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58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14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0.34693877551020408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9</v>
      </c>
      <c r="M11" s="216">
        <f t="shared" si="10"/>
        <v>0.18367346938775511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2</v>
      </c>
      <c r="S11" s="216">
        <f t="shared" ca="1" si="14"/>
        <v>0.14285714285714285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34</v>
      </c>
      <c r="AW14" s="168">
        <f>COUNTIF( AV$7:AV14, AV14 )</f>
        <v>2</v>
      </c>
      <c r="AX14" s="208">
        <f t="shared" si="22"/>
        <v>34.200000000000003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35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301</v>
      </c>
      <c r="B16" s="224" t="s">
        <v>139</v>
      </c>
      <c r="C16" s="224">
        <v>20</v>
      </c>
      <c r="D16" s="224" t="s">
        <v>302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19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19.057142857142857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18.857142857142858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9">
      <c r="A17" s="223" t="s">
        <v>281</v>
      </c>
      <c r="B17" s="224" t="s">
        <v>139</v>
      </c>
      <c r="C17" s="224">
        <v>20</v>
      </c>
      <c r="D17" s="224" t="s">
        <v>282</v>
      </c>
      <c r="E17" s="225" t="str">
        <f t="shared" ca="1" si="8"/>
        <v>R</v>
      </c>
      <c r="F17" s="365"/>
      <c r="G17" s="366">
        <f t="shared" ca="1" si="1"/>
        <v>38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9">
      <c r="A18" s="223" t="s">
        <v>243</v>
      </c>
      <c r="B18" s="224" t="s">
        <v>139</v>
      </c>
      <c r="C18" s="224">
        <v>20</v>
      </c>
      <c r="D18" s="224" t="s">
        <v>244</v>
      </c>
      <c r="E18" s="225" t="str">
        <f t="shared" ca="1" si="8"/>
        <v>R</v>
      </c>
      <c r="F18" s="365"/>
      <c r="G18" s="366">
        <f t="shared" ca="1" si="1"/>
        <v>41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9">
      <c r="A19" s="223" t="s">
        <v>293</v>
      </c>
      <c r="B19" s="224" t="s">
        <v>139</v>
      </c>
      <c r="C19" s="224">
        <v>20</v>
      </c>
      <c r="D19" s="224" t="s">
        <v>294</v>
      </c>
      <c r="E19" s="225" t="str">
        <f t="shared" ca="1" si="8"/>
        <v>R</v>
      </c>
      <c r="F19" s="365"/>
      <c r="G19" s="366">
        <f t="shared" ca="1" si="1"/>
        <v>45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9">
      <c r="A20" s="223" t="s">
        <v>345</v>
      </c>
      <c r="B20" s="224" t="s">
        <v>139</v>
      </c>
      <c r="C20" s="224">
        <v>20</v>
      </c>
      <c r="D20" s="224" t="s">
        <v>346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9">
      <c r="A21" s="223" t="s">
        <v>247</v>
      </c>
      <c r="B21" s="224" t="s">
        <v>139</v>
      </c>
      <c r="C21" s="224">
        <v>20</v>
      </c>
      <c r="D21" s="224" t="s">
        <v>248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9">
      <c r="A22" s="223" t="s">
        <v>251</v>
      </c>
      <c r="B22" s="224" t="s">
        <v>139</v>
      </c>
      <c r="C22" s="224">
        <v>20</v>
      </c>
      <c r="D22" s="224" t="s">
        <v>252</v>
      </c>
      <c r="E22" s="225" t="str">
        <f t="shared" ca="1" si="8"/>
        <v>R</v>
      </c>
      <c r="F22" s="365"/>
      <c r="G22" s="366">
        <f t="shared" ca="1" si="1"/>
        <v>50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9">
      <c r="A23" s="223" t="s">
        <v>217</v>
      </c>
      <c r="B23" s="224" t="s">
        <v>140</v>
      </c>
      <c r="C23" s="224">
        <v>19</v>
      </c>
      <c r="D23" s="224" t="s">
        <v>218</v>
      </c>
      <c r="E23" s="225" t="str">
        <f t="shared" ca="1" si="8"/>
        <v>MR</v>
      </c>
      <c r="F23" s="365"/>
      <c r="G23" s="366">
        <f t="shared" ca="1" si="1"/>
        <v>7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9">
      <c r="A24" s="223" t="s">
        <v>225</v>
      </c>
      <c r="B24" s="224" t="s">
        <v>140</v>
      </c>
      <c r="C24" s="224">
        <v>19</v>
      </c>
      <c r="D24" s="224" t="s">
        <v>226</v>
      </c>
      <c r="E24" s="225" t="str">
        <f t="shared" ca="1" si="8"/>
        <v>R</v>
      </c>
      <c r="F24" s="365"/>
      <c r="G24" s="366">
        <f t="shared" ca="1" si="1"/>
        <v>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34</v>
      </c>
      <c r="AW24" s="168">
        <f>COUNTIF( AV$7:AV24, AV24 )</f>
        <v>3</v>
      </c>
      <c r="AX24" s="208">
        <f t="shared" si="22"/>
        <v>34.299999999999997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9">
      <c r="A25" s="223" t="s">
        <v>233</v>
      </c>
      <c r="B25" s="224" t="s">
        <v>140</v>
      </c>
      <c r="C25" s="224">
        <v>19</v>
      </c>
      <c r="D25" s="224" t="s">
        <v>234</v>
      </c>
      <c r="E25" s="225" t="str">
        <f t="shared" ca="1" si="8"/>
        <v>MR</v>
      </c>
      <c r="F25" s="365"/>
      <c r="G25" s="366">
        <f t="shared" ca="1" si="1"/>
        <v>11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9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65"/>
      <c r="G26" s="366">
        <f t="shared" ca="1" si="1"/>
        <v>15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164</v>
      </c>
      <c r="AS26" s="207">
        <v>22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9">
      <c r="A27" s="223" t="s">
        <v>258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65"/>
      <c r="G27" s="366">
        <f t="shared" ca="1" si="1"/>
        <v>17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34</v>
      </c>
      <c r="AW27" s="168">
        <f>COUNTIF( AV$7:AV27, AV27 )</f>
        <v>4</v>
      </c>
      <c r="AX27" s="208">
        <f t="shared" si="22"/>
        <v>34.4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9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65"/>
      <c r="G28" s="366">
        <f t="shared" ca="1" si="1"/>
        <v>18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9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65"/>
      <c r="G29" s="366">
        <f t="shared" ca="1" si="1"/>
        <v>20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9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65"/>
      <c r="G30" s="366">
        <f t="shared" ca="1" si="1"/>
        <v>23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9">
      <c r="A31" s="223" t="s">
        <v>352</v>
      </c>
      <c r="B31" s="224" t="s">
        <v>140</v>
      </c>
      <c r="C31" s="224">
        <v>19</v>
      </c>
      <c r="D31" s="224" t="s">
        <v>353</v>
      </c>
      <c r="E31" s="225" t="str">
        <f t="shared" ca="1" si="8"/>
        <v>R</v>
      </c>
      <c r="F31" s="365"/>
      <c r="G31" s="366">
        <f t="shared" ca="1" si="1"/>
        <v>27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9">
      <c r="A32" s="223" t="s">
        <v>271</v>
      </c>
      <c r="B32" s="224" t="s">
        <v>140</v>
      </c>
      <c r="C32" s="224">
        <v>19</v>
      </c>
      <c r="D32" s="224" t="s">
        <v>272</v>
      </c>
      <c r="E32" s="225" t="str">
        <f t="shared" ca="1" si="8"/>
        <v>MR</v>
      </c>
      <c r="F32" s="365"/>
      <c r="G32" s="366">
        <f t="shared" ca="1" si="1"/>
        <v>30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9">
      <c r="A33" s="223" t="s">
        <v>273</v>
      </c>
      <c r="B33" s="224" t="s">
        <v>140</v>
      </c>
      <c r="C33" s="224">
        <v>19</v>
      </c>
      <c r="D33" s="224" t="s">
        <v>274</v>
      </c>
      <c r="E33" s="225" t="str">
        <f t="shared" ca="1" si="8"/>
        <v>R</v>
      </c>
      <c r="F33" s="365"/>
      <c r="G33" s="366">
        <f t="shared" ca="1" si="1"/>
        <v>33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9">
      <c r="A34" s="223" t="s">
        <v>358</v>
      </c>
      <c r="B34" s="224" t="s">
        <v>140</v>
      </c>
      <c r="C34" s="224">
        <v>19</v>
      </c>
      <c r="D34" s="224" t="s">
        <v>359</v>
      </c>
      <c r="E34" s="225" t="str">
        <f t="shared" ca="1" si="8"/>
        <v>R</v>
      </c>
      <c r="F34" s="365"/>
      <c r="G34" s="366">
        <f t="shared" ca="1" si="1"/>
        <v>56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**EFH</v>
      </c>
    </row>
    <row r="35" spans="1:61" ht="13.9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65"/>
      <c r="G35" s="366">
        <f t="shared" ca="1" si="1"/>
        <v>39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9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34</v>
      </c>
      <c r="AW36" s="168">
        <f>COUNTIF( AV$7:AV36, AV36 )</f>
        <v>6</v>
      </c>
      <c r="AX36" s="208">
        <f t="shared" si="22"/>
        <v>34.6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9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65"/>
      <c r="G37" s="366">
        <f t="shared" ca="1" si="1"/>
        <v>44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9">
      <c r="A38" s="223" t="s">
        <v>295</v>
      </c>
      <c r="B38" s="224" t="s">
        <v>140</v>
      </c>
      <c r="C38" s="224">
        <v>19</v>
      </c>
      <c r="D38" s="224" t="s">
        <v>296</v>
      </c>
      <c r="E38" s="225" t="str">
        <f t="shared" ca="1" si="8"/>
        <v>R</v>
      </c>
      <c r="F38" s="365"/>
      <c r="G38" s="366">
        <f t="shared" ca="1" si="1"/>
        <v>46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359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3.9">
      <c r="A39" s="223" t="s">
        <v>354</v>
      </c>
      <c r="B39" s="224" t="s">
        <v>140</v>
      </c>
      <c r="C39" s="224">
        <v>19</v>
      </c>
      <c r="D39" s="224" t="s">
        <v>355</v>
      </c>
      <c r="E39" s="225" t="str">
        <f t="shared" ca="1" si="8"/>
        <v>R</v>
      </c>
      <c r="F39" s="365"/>
      <c r="G39" s="366">
        <f t="shared" ca="1" si="1"/>
        <v>49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34</v>
      </c>
      <c r="AW39" s="168">
        <f>COUNTIF( AV$7:AV39, AV39 )</f>
        <v>7</v>
      </c>
      <c r="AX39" s="208">
        <f t="shared" si="22"/>
        <v>34.700000000000003</v>
      </c>
      <c r="AY39" s="168">
        <f t="shared" si="23"/>
        <v>40</v>
      </c>
      <c r="AZ39" s="169"/>
      <c r="BA39" s="169"/>
      <c r="BC39" s="168">
        <f t="shared" ca="1" si="24"/>
        <v>33</v>
      </c>
      <c r="BD39" s="209">
        <f t="shared" ca="1" si="6"/>
        <v>46</v>
      </c>
      <c r="BF39" s="173" t="str">
        <f t="shared" ref="BF39:BI63" ca="1" si="25">OFFSET( AQ$6, $BD39, 0 )</f>
        <v>Westar Energy, Inc.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WR</v>
      </c>
    </row>
    <row r="40" spans="1:61" ht="13.9">
      <c r="A40" s="223" t="s">
        <v>238</v>
      </c>
      <c r="B40" s="224" t="s">
        <v>141</v>
      </c>
      <c r="C40" s="224">
        <v>18</v>
      </c>
      <c r="D40" s="224" t="s">
        <v>239</v>
      </c>
      <c r="E40" s="225" t="str">
        <f t="shared" ca="1" si="8"/>
        <v>R</v>
      </c>
      <c r="F40" s="365"/>
      <c r="G40" s="366">
        <f t="shared" ca="1" si="1"/>
        <v>12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301</v>
      </c>
      <c r="AR40" s="207" t="s">
        <v>139</v>
      </c>
      <c r="AS40" s="207">
        <v>20</v>
      </c>
      <c r="AT40" s="207" t="s">
        <v>302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9">
      <c r="A41" s="223" t="s">
        <v>245</v>
      </c>
      <c r="B41" s="224" t="s">
        <v>141</v>
      </c>
      <c r="C41" s="224">
        <v>18</v>
      </c>
      <c r="D41" s="224" t="s">
        <v>246</v>
      </c>
      <c r="E41" s="225" t="str">
        <f t="shared" ca="1" si="8"/>
        <v>R</v>
      </c>
      <c r="F41" s="365"/>
      <c r="G41" s="366">
        <f t="shared" ca="1" si="1"/>
        <v>13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3.9">
      <c r="A42" s="223" t="s">
        <v>328</v>
      </c>
      <c r="B42" s="224" t="s">
        <v>141</v>
      </c>
      <c r="C42" s="224">
        <v>18</v>
      </c>
      <c r="D42" s="224" t="s">
        <v>331</v>
      </c>
      <c r="E42" s="225" t="str">
        <f t="shared" ca="1" si="8"/>
        <v>R</v>
      </c>
      <c r="F42" s="365"/>
      <c r="G42" s="366">
        <f t="shared" ca="1" si="1"/>
        <v>21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3.9">
      <c r="A43" s="223" t="s">
        <v>269</v>
      </c>
      <c r="B43" s="224" t="s">
        <v>141</v>
      </c>
      <c r="C43" s="224">
        <v>18</v>
      </c>
      <c r="D43" s="224" t="s">
        <v>270</v>
      </c>
      <c r="E43" s="225" t="str">
        <f t="shared" ca="1" si="8"/>
        <v>MR</v>
      </c>
      <c r="F43" s="365"/>
      <c r="G43" s="366">
        <f t="shared" ca="1" si="1"/>
        <v>25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34</v>
      </c>
      <c r="AW43" s="168">
        <f>COUNTIF( AV$7:AV43, AV43 )</f>
        <v>8</v>
      </c>
      <c r="AX43" s="208">
        <f t="shared" si="22"/>
        <v>34.799999999999997</v>
      </c>
      <c r="AY43" s="168">
        <f t="shared" si="23"/>
        <v>41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9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65"/>
      <c r="G44" s="366">
        <f t="shared" ca="1" si="1"/>
        <v>29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9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65"/>
      <c r="G45" s="366">
        <f t="shared" ca="1" si="1"/>
        <v>34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9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65"/>
      <c r="G46" s="366">
        <f t="shared" ca="1" si="1"/>
        <v>36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33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9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8"/>
        <v>R</v>
      </c>
      <c r="F47" s="365"/>
      <c r="G47" s="366">
        <f t="shared" ca="1" si="1"/>
        <v>40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141</v>
      </c>
      <c r="AS47" s="207">
        <v>18</v>
      </c>
      <c r="AT47" s="207" t="s">
        <v>348</v>
      </c>
      <c r="AV47" s="168">
        <f t="shared" si="21"/>
        <v>34</v>
      </c>
      <c r="AW47" s="168">
        <f>COUNTIF( AV$7:AV47, AV47 )</f>
        <v>9</v>
      </c>
      <c r="AX47" s="208">
        <f t="shared" si="22"/>
        <v>34.9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6"/>
        <v>37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9">
      <c r="A48" s="223" t="s">
        <v>347</v>
      </c>
      <c r="B48" s="224" t="s">
        <v>141</v>
      </c>
      <c r="C48" s="224">
        <v>18</v>
      </c>
      <c r="D48" s="224" t="s">
        <v>348</v>
      </c>
      <c r="E48" s="225" t="str">
        <f t="shared" ca="1" si="8"/>
        <v>MR</v>
      </c>
      <c r="F48" s="365"/>
      <c r="G48" s="366">
        <f t="shared" ca="1" si="1"/>
        <v>43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>
        <f t="shared" ca="1" si="18"/>
        <v>1</v>
      </c>
      <c r="AJ48" s="169">
        <f t="shared" ca="1" si="19"/>
        <v>37</v>
      </c>
      <c r="AK48" s="169" t="str">
        <f t="shared" ca="1" si="20"/>
        <v>BBB+</v>
      </c>
      <c r="AL48" s="169">
        <f t="shared" ca="1" si="20"/>
        <v>19</v>
      </c>
      <c r="AM48" s="169" t="str">
        <f t="shared" ca="1" si="4"/>
        <v>Change</v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17</v>
      </c>
      <c r="AW48" s="168">
        <f>COUNTIF( AV$7:AV48, AV48 )</f>
        <v>15</v>
      </c>
      <c r="AX48" s="208">
        <f t="shared" si="22"/>
        <v>18.5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41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3.9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65"/>
      <c r="G50" s="366">
        <f t="shared" ca="1" si="1"/>
        <v>26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17</v>
      </c>
      <c r="AW50" s="168">
        <f>COUNTIF( AV$7:AV50, AV50 )</f>
        <v>16</v>
      </c>
      <c r="AX50" s="208">
        <f t="shared" si="22"/>
        <v>18.600000000000001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65"/>
      <c r="G51" s="366">
        <f t="shared" ca="1" si="1"/>
        <v>28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9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65"/>
      <c r="G52" s="366">
        <f t="shared" ca="1" si="1"/>
        <v>57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17</v>
      </c>
      <c r="AW52" s="168">
        <f>COUNTIF( AV$7:AV52, AV52 )</f>
        <v>17</v>
      </c>
      <c r="AX52" s="208">
        <f t="shared" si="22"/>
        <v>18.7</v>
      </c>
      <c r="AY52" s="168">
        <f t="shared" si="23"/>
        <v>33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9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9">
      <c r="A54" s="223" t="s">
        <v>259</v>
      </c>
      <c r="B54" s="224" t="s">
        <v>175</v>
      </c>
      <c r="C54" s="224">
        <v>15</v>
      </c>
      <c r="D54" s="224" t="s">
        <v>260</v>
      </c>
      <c r="E54" s="225" t="str">
        <f t="shared" ca="1" si="8"/>
        <v>MR</v>
      </c>
      <c r="F54" s="365"/>
      <c r="G54" s="366">
        <f t="shared" ca="1" si="1"/>
        <v>55</v>
      </c>
      <c r="H54" s="367"/>
      <c r="I54" s="367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>Change</v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</v>
      </c>
      <c r="BH54" s="173">
        <f t="shared" ca="1" si="25"/>
        <v>15</v>
      </c>
      <c r="BI54" s="173" t="str">
        <f t="shared" ca="1" si="25"/>
        <v>**DPL</v>
      </c>
    </row>
    <row r="55" spans="1:61" ht="13.9">
      <c r="A55" s="223"/>
      <c r="B55" s="224"/>
      <c r="C55" s="224"/>
      <c r="D55" s="224"/>
      <c r="E55" s="225" t="str">
        <f t="shared" ca="1" si="8"/>
        <v/>
      </c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18.959183673469386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-- 2017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Reg_Percent_2016</v>
      </c>
      <c r="G2" s="172" t="s">
        <v>356</v>
      </c>
      <c r="AJ2" s="173" t="str">
        <f>AJ4 &amp; AJ3</f>
        <v>'Credit_2017Q2'!d:d</v>
      </c>
      <c r="AK2" s="173" t="str">
        <f>AK4 &amp; AK3</f>
        <v>'Credit_2017Q2'!b1</v>
      </c>
      <c r="AL2" s="173" t="str">
        <f>AL4 &amp; AL3</f>
        <v>'Credit_2017Q2'!c1</v>
      </c>
      <c r="AQ2" s="169"/>
    </row>
    <row r="3" spans="1:61" ht="18" hidden="1" outlineLevel="1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'Credit_2017Q2'!</v>
      </c>
      <c r="AK4" s="169" t="str">
        <f t="shared" ref="AK4:AL4" si="0">$AQ$5</f>
        <v>'Credit_2017Q2'!</v>
      </c>
      <c r="AL4" s="169" t="str">
        <f t="shared" si="0"/>
        <v>'Credit_2017Q2'!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(49)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(14)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360</v>
      </c>
    </row>
    <row r="6" spans="1:61" ht="28.5" customHeight="1">
      <c r="A6" s="219" t="s">
        <v>212</v>
      </c>
      <c r="B6" s="220" t="s">
        <v>70</v>
      </c>
      <c r="C6" s="249" t="s">
        <v>214</v>
      </c>
      <c r="D6" s="221"/>
      <c r="E6" s="222">
        <f ca="1">INDIRECT( E3 &amp; G1 )</f>
        <v>42735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58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24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14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35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301</v>
      </c>
      <c r="B16" s="224" t="s">
        <v>139</v>
      </c>
      <c r="C16" s="224">
        <v>20</v>
      </c>
      <c r="D16" s="224" t="s">
        <v>302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18.979591836734695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19.028571428571428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18.857142857142858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9">
      <c r="A17" s="223" t="s">
        <v>281</v>
      </c>
      <c r="B17" s="224" t="s">
        <v>139</v>
      </c>
      <c r="C17" s="224">
        <v>20</v>
      </c>
      <c r="D17" s="224" t="s">
        <v>282</v>
      </c>
      <c r="E17" s="225" t="str">
        <f t="shared" ca="1" si="8"/>
        <v>R</v>
      </c>
      <c r="F17" s="365"/>
      <c r="G17" s="366">
        <f t="shared" ca="1" si="1"/>
        <v>38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9">
      <c r="A18" s="223" t="s">
        <v>243</v>
      </c>
      <c r="B18" s="224" t="s">
        <v>139</v>
      </c>
      <c r="C18" s="224">
        <v>20</v>
      </c>
      <c r="D18" s="224" t="s">
        <v>244</v>
      </c>
      <c r="E18" s="225" t="str">
        <f t="shared" ca="1" si="8"/>
        <v>R</v>
      </c>
      <c r="F18" s="365"/>
      <c r="G18" s="366">
        <f t="shared" ca="1" si="1"/>
        <v>41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9">
      <c r="A19" s="223" t="s">
        <v>293</v>
      </c>
      <c r="B19" s="224" t="s">
        <v>139</v>
      </c>
      <c r="C19" s="224">
        <v>20</v>
      </c>
      <c r="D19" s="224" t="s">
        <v>294</v>
      </c>
      <c r="E19" s="225" t="str">
        <f t="shared" ca="1" si="8"/>
        <v>R</v>
      </c>
      <c r="F19" s="365"/>
      <c r="G19" s="366">
        <f t="shared" ca="1" si="1"/>
        <v>45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9">
      <c r="A20" s="223" t="s">
        <v>345</v>
      </c>
      <c r="B20" s="224" t="s">
        <v>139</v>
      </c>
      <c r="C20" s="224">
        <v>20</v>
      </c>
      <c r="D20" s="224" t="s">
        <v>346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177</v>
      </c>
      <c r="AS20" s="207">
        <v>14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9">
      <c r="A21" s="223" t="s">
        <v>247</v>
      </c>
      <c r="B21" s="224" t="s">
        <v>139</v>
      </c>
      <c r="C21" s="224">
        <v>20</v>
      </c>
      <c r="D21" s="224" t="s">
        <v>248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9">
      <c r="A22" s="223" t="s">
        <v>251</v>
      </c>
      <c r="B22" s="224" t="s">
        <v>139</v>
      </c>
      <c r="C22" s="224">
        <v>20</v>
      </c>
      <c r="D22" s="224" t="s">
        <v>252</v>
      </c>
      <c r="E22" s="225" t="str">
        <f t="shared" ca="1" si="8"/>
        <v>R</v>
      </c>
      <c r="F22" s="365"/>
      <c r="G22" s="366">
        <f t="shared" ca="1" si="1"/>
        <v>50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9">
      <c r="A23" s="223" t="s">
        <v>217</v>
      </c>
      <c r="B23" s="224" t="s">
        <v>140</v>
      </c>
      <c r="C23" s="224">
        <v>19</v>
      </c>
      <c r="D23" s="224" t="s">
        <v>218</v>
      </c>
      <c r="E23" s="225" t="str">
        <f t="shared" ca="1" si="8"/>
        <v>MR</v>
      </c>
      <c r="F23" s="365"/>
      <c r="G23" s="366">
        <f t="shared" ca="1" si="1"/>
        <v>7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9">
      <c r="A24" s="223" t="s">
        <v>225</v>
      </c>
      <c r="B24" s="224" t="s">
        <v>140</v>
      </c>
      <c r="C24" s="224">
        <v>19</v>
      </c>
      <c r="D24" s="224" t="s">
        <v>226</v>
      </c>
      <c r="E24" s="225" t="str">
        <f t="shared" ca="1" si="8"/>
        <v>R</v>
      </c>
      <c r="F24" s="365"/>
      <c r="G24" s="366">
        <f t="shared" ca="1" si="1"/>
        <v>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9">
      <c r="A25" s="223" t="s">
        <v>233</v>
      </c>
      <c r="B25" s="224" t="s">
        <v>140</v>
      </c>
      <c r="C25" s="224">
        <v>19</v>
      </c>
      <c r="D25" s="224" t="s">
        <v>234</v>
      </c>
      <c r="E25" s="225" t="str">
        <f t="shared" ca="1" si="8"/>
        <v>MR</v>
      </c>
      <c r="F25" s="365"/>
      <c r="G25" s="366">
        <f t="shared" ca="1" si="1"/>
        <v>11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9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65"/>
      <c r="G26" s="366">
        <f t="shared" ca="1" si="1"/>
        <v>15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9">
      <c r="A27" s="223" t="s">
        <v>361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65"/>
      <c r="G27" s="366">
        <f t="shared" ca="1" si="1"/>
        <v>17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9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65"/>
      <c r="G28" s="366">
        <f t="shared" ca="1" si="1"/>
        <v>18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9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65"/>
      <c r="G29" s="366">
        <f t="shared" ca="1" si="1"/>
        <v>20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9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65"/>
      <c r="G30" s="366">
        <f t="shared" ca="1" si="1"/>
        <v>23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9">
      <c r="A31" s="223" t="s">
        <v>352</v>
      </c>
      <c r="B31" s="224" t="s">
        <v>140</v>
      </c>
      <c r="C31" s="224">
        <v>19</v>
      </c>
      <c r="D31" s="224" t="s">
        <v>353</v>
      </c>
      <c r="E31" s="225" t="str">
        <f t="shared" ca="1" si="8"/>
        <v>R</v>
      </c>
      <c r="F31" s="365"/>
      <c r="G31" s="366">
        <f t="shared" ca="1" si="1"/>
        <v>27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9">
      <c r="A32" s="223" t="s">
        <v>271</v>
      </c>
      <c r="B32" s="224" t="s">
        <v>140</v>
      </c>
      <c r="C32" s="224">
        <v>19</v>
      </c>
      <c r="D32" s="224" t="s">
        <v>272</v>
      </c>
      <c r="E32" s="225" t="str">
        <f t="shared" ca="1" si="8"/>
        <v>MR</v>
      </c>
      <c r="F32" s="365"/>
      <c r="G32" s="366">
        <f t="shared" ca="1" si="1"/>
        <v>30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9">
      <c r="A33" s="223" t="s">
        <v>273</v>
      </c>
      <c r="B33" s="224" t="s">
        <v>140</v>
      </c>
      <c r="C33" s="224">
        <v>19</v>
      </c>
      <c r="D33" s="224" t="s">
        <v>274</v>
      </c>
      <c r="E33" s="225" t="str">
        <f t="shared" ca="1" si="8"/>
        <v>R</v>
      </c>
      <c r="F33" s="365"/>
      <c r="G33" s="366">
        <f t="shared" ca="1" si="1"/>
        <v>33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9">
      <c r="A34" s="223" t="s">
        <v>358</v>
      </c>
      <c r="B34" s="224" t="s">
        <v>140</v>
      </c>
      <c r="C34" s="224">
        <v>19</v>
      </c>
      <c r="D34" s="224" t="s">
        <v>359</v>
      </c>
      <c r="E34" s="225" t="str">
        <f t="shared" ca="1" si="8"/>
        <v>R</v>
      </c>
      <c r="F34" s="365"/>
      <c r="G34" s="366">
        <f t="shared" ca="1" si="1"/>
        <v>56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3.9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65"/>
      <c r="G35" s="366">
        <f t="shared" ca="1" si="1"/>
        <v>39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9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9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MR</v>
      </c>
      <c r="F37" s="365"/>
      <c r="G37" s="366">
        <f t="shared" ca="1" si="1"/>
        <v>43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9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65"/>
      <c r="G38" s="366">
        <f t="shared" ca="1" si="1"/>
        <v>44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362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9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65"/>
      <c r="G39" s="366">
        <f t="shared" ca="1" si="1"/>
        <v>46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9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65"/>
      <c r="G40" s="366">
        <f t="shared" ca="1" si="1"/>
        <v>49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139</v>
      </c>
      <c r="AS40" s="207">
        <v>20</v>
      </c>
      <c r="AT40" s="207" t="s">
        <v>302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9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65"/>
      <c r="G41" s="366">
        <f t="shared" ca="1" si="1"/>
        <v>12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9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65"/>
      <c r="G42" s="366">
        <f t="shared" ca="1" si="1"/>
        <v>13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9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65"/>
      <c r="G43" s="366">
        <f t="shared" ca="1" si="1"/>
        <v>21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9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65"/>
      <c r="G44" s="366">
        <f t="shared" ca="1" si="1"/>
        <v>25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9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65"/>
      <c r="G45" s="366">
        <f t="shared" ca="1" si="1"/>
        <v>29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34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36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285</v>
      </c>
      <c r="B48" s="224" t="s">
        <v>141</v>
      </c>
      <c r="C48" s="224">
        <v>18</v>
      </c>
      <c r="D48" s="224" t="s">
        <v>286</v>
      </c>
      <c r="E48" s="225" t="str">
        <f t="shared" ca="1" si="8"/>
        <v>R</v>
      </c>
      <c r="F48" s="365"/>
      <c r="G48" s="366">
        <f t="shared" ca="1" si="1"/>
        <v>40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9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65"/>
      <c r="G50" s="366">
        <f t="shared" ca="1" si="1"/>
        <v>26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65"/>
      <c r="G51" s="366">
        <f t="shared" ca="1" si="1"/>
        <v>28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9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65"/>
      <c r="G52" s="366">
        <f t="shared" ca="1" si="1"/>
        <v>57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9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9">
      <c r="A54" s="223" t="s">
        <v>259</v>
      </c>
      <c r="B54" s="224" t="s">
        <v>177</v>
      </c>
      <c r="C54" s="224">
        <v>14</v>
      </c>
      <c r="D54" s="224" t="s">
        <v>260</v>
      </c>
      <c r="E54" s="225" t="str">
        <f t="shared" ca="1" si="8"/>
        <v>MR</v>
      </c>
      <c r="F54" s="365"/>
      <c r="G54" s="366">
        <f t="shared" ca="1" si="1"/>
        <v>55</v>
      </c>
      <c r="H54" s="367"/>
      <c r="I54" s="367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9">
      <c r="A55" s="223"/>
      <c r="B55" s="224"/>
      <c r="C55" s="224"/>
      <c r="D55" s="224"/>
      <c r="E55" s="225" t="str">
        <f t="shared" ca="1" si="8"/>
        <v/>
      </c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18.979591836734695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-- 2017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Reg_Percent_2016</v>
      </c>
      <c r="G2" s="172" t="s">
        <v>356</v>
      </c>
      <c r="AJ2" s="173" t="str">
        <f>AJ4 &amp; AJ3</f>
        <v>'Credit_2017Q1'!d:d</v>
      </c>
      <c r="AK2" s="173" t="str">
        <f>AK4 &amp; AK3</f>
        <v>'Credit_2017Q1'!b1</v>
      </c>
      <c r="AL2" s="173" t="str">
        <f>AL4 &amp; AL3</f>
        <v>'Credit_2017Q1'!c1</v>
      </c>
      <c r="AQ2" s="169"/>
    </row>
    <row r="3" spans="1:61" ht="18" hidden="1" outlineLevel="1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'Credit_2017Q1'!</v>
      </c>
      <c r="AK4" s="169" t="str">
        <f t="shared" ref="AK4:AL4" si="0">$AQ$5</f>
        <v>'Credit_2017Q1'!</v>
      </c>
      <c r="AL4" s="169" t="str">
        <f t="shared" si="0"/>
        <v>'Credit_2017Q1'!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(49)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(14)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363</v>
      </c>
    </row>
    <row r="6" spans="1:61" ht="28.5" customHeight="1">
      <c r="A6" s="219" t="s">
        <v>212</v>
      </c>
      <c r="B6" s="220" t="s">
        <v>69</v>
      </c>
      <c r="C6" s="249" t="s">
        <v>214</v>
      </c>
      <c r="D6" s="221"/>
      <c r="E6" s="222">
        <f ca="1">INDIRECT( E3 &amp; G1 )</f>
        <v>42735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58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24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14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35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301</v>
      </c>
      <c r="B16" s="224" t="s">
        <v>139</v>
      </c>
      <c r="C16" s="224">
        <v>20</v>
      </c>
      <c r="D16" s="224" t="s">
        <v>302</v>
      </c>
      <c r="E16" s="225" t="str">
        <f t="shared" ca="1" si="8"/>
        <v>R</v>
      </c>
      <c r="F16" s="365"/>
      <c r="G16" s="366">
        <f t="shared" ca="1" si="1"/>
        <v>37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18.979591836734695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19.028571428571428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18.857142857142858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>
        <f t="shared" ca="1" si="3"/>
        <v>1</v>
      </c>
      <c r="AH16" s="169" t="str">
        <f t="shared" ca="1" si="18"/>
        <v/>
      </c>
      <c r="AJ16" s="169">
        <f t="shared" ca="1" si="19"/>
        <v>34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4"/>
        <v>Change</v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9">
      <c r="A17" s="223" t="s">
        <v>281</v>
      </c>
      <c r="B17" s="224" t="s">
        <v>139</v>
      </c>
      <c r="C17" s="224">
        <v>20</v>
      </c>
      <c r="D17" s="224" t="s">
        <v>282</v>
      </c>
      <c r="E17" s="225" t="str">
        <f t="shared" ca="1" si="8"/>
        <v>R</v>
      </c>
      <c r="F17" s="365"/>
      <c r="G17" s="366">
        <f t="shared" ca="1" si="1"/>
        <v>38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9">
      <c r="A18" s="223" t="s">
        <v>243</v>
      </c>
      <c r="B18" s="224" t="s">
        <v>139</v>
      </c>
      <c r="C18" s="224">
        <v>20</v>
      </c>
      <c r="D18" s="224" t="s">
        <v>244</v>
      </c>
      <c r="E18" s="225" t="str">
        <f t="shared" ca="1" si="8"/>
        <v>R</v>
      </c>
      <c r="F18" s="365"/>
      <c r="G18" s="366">
        <f t="shared" ca="1" si="1"/>
        <v>41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9">
      <c r="A19" s="223" t="s">
        <v>293</v>
      </c>
      <c r="B19" s="224" t="s">
        <v>139</v>
      </c>
      <c r="C19" s="224">
        <v>20</v>
      </c>
      <c r="D19" s="224" t="s">
        <v>294</v>
      </c>
      <c r="E19" s="225" t="str">
        <f t="shared" ca="1" si="8"/>
        <v>R</v>
      </c>
      <c r="F19" s="365"/>
      <c r="G19" s="366">
        <f t="shared" ca="1" si="1"/>
        <v>45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9">
      <c r="A20" s="223" t="s">
        <v>345</v>
      </c>
      <c r="B20" s="224" t="s">
        <v>139</v>
      </c>
      <c r="C20" s="224">
        <v>20</v>
      </c>
      <c r="D20" s="224" t="s">
        <v>346</v>
      </c>
      <c r="E20" s="225" t="str">
        <f t="shared" ca="1" si="8"/>
        <v>R</v>
      </c>
      <c r="F20" s="365"/>
      <c r="G20" s="366">
        <f t="shared" ca="1" si="1"/>
        <v>47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177</v>
      </c>
      <c r="AS20" s="207">
        <v>14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9">
      <c r="A21" s="223" t="s">
        <v>247</v>
      </c>
      <c r="B21" s="224" t="s">
        <v>139</v>
      </c>
      <c r="C21" s="224">
        <v>20</v>
      </c>
      <c r="D21" s="224" t="s">
        <v>248</v>
      </c>
      <c r="E21" s="225" t="str">
        <f t="shared" ca="1" si="8"/>
        <v>R</v>
      </c>
      <c r="F21" s="365"/>
      <c r="G21" s="366">
        <f t="shared" ca="1" si="1"/>
        <v>48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9">
      <c r="A22" s="223" t="s">
        <v>251</v>
      </c>
      <c r="B22" s="224" t="s">
        <v>139</v>
      </c>
      <c r="C22" s="224">
        <v>20</v>
      </c>
      <c r="D22" s="224" t="s">
        <v>252</v>
      </c>
      <c r="E22" s="225" t="str">
        <f t="shared" ca="1" si="8"/>
        <v>R</v>
      </c>
      <c r="F22" s="365"/>
      <c r="G22" s="366">
        <f t="shared" ca="1" si="1"/>
        <v>50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9">
      <c r="A23" s="223" t="s">
        <v>217</v>
      </c>
      <c r="B23" s="224" t="s">
        <v>140</v>
      </c>
      <c r="C23" s="224">
        <v>19</v>
      </c>
      <c r="D23" s="224" t="s">
        <v>218</v>
      </c>
      <c r="E23" s="225" t="str">
        <f t="shared" ca="1" si="8"/>
        <v>MR</v>
      </c>
      <c r="F23" s="365"/>
      <c r="G23" s="366">
        <f t="shared" ca="1" si="1"/>
        <v>7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9">
      <c r="A24" s="223" t="s">
        <v>225</v>
      </c>
      <c r="B24" s="224" t="s">
        <v>140</v>
      </c>
      <c r="C24" s="224">
        <v>19</v>
      </c>
      <c r="D24" s="224" t="s">
        <v>226</v>
      </c>
      <c r="E24" s="225" t="str">
        <f t="shared" ca="1" si="8"/>
        <v>R</v>
      </c>
      <c r="F24" s="365"/>
      <c r="G24" s="366">
        <f t="shared" ca="1" si="1"/>
        <v>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9">
      <c r="A25" s="223" t="s">
        <v>233</v>
      </c>
      <c r="B25" s="224" t="s">
        <v>140</v>
      </c>
      <c r="C25" s="224">
        <v>19</v>
      </c>
      <c r="D25" s="224" t="s">
        <v>234</v>
      </c>
      <c r="E25" s="225" t="str">
        <f t="shared" ca="1" si="8"/>
        <v>MR</v>
      </c>
      <c r="F25" s="365"/>
      <c r="G25" s="366">
        <f t="shared" ca="1" si="1"/>
        <v>11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9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65"/>
      <c r="G26" s="366">
        <f t="shared" ca="1" si="1"/>
        <v>15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9">
      <c r="A27" s="223" t="s">
        <v>361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65"/>
      <c r="G27" s="366">
        <f t="shared" ca="1" si="1"/>
        <v>17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Resources,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9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65"/>
      <c r="G28" s="366">
        <f t="shared" ca="1" si="1"/>
        <v>18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9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65"/>
      <c r="G29" s="366">
        <f t="shared" ca="1" si="1"/>
        <v>20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9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65"/>
      <c r="G30" s="366">
        <f t="shared" ca="1" si="1"/>
        <v>23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9">
      <c r="A31" s="223" t="s">
        <v>352</v>
      </c>
      <c r="B31" s="224" t="s">
        <v>140</v>
      </c>
      <c r="C31" s="224">
        <v>19</v>
      </c>
      <c r="D31" s="224" t="s">
        <v>353</v>
      </c>
      <c r="E31" s="225" t="str">
        <f t="shared" ca="1" si="8"/>
        <v>R</v>
      </c>
      <c r="F31" s="365"/>
      <c r="G31" s="366">
        <f t="shared" ca="1" si="1"/>
        <v>27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9">
      <c r="A32" s="223" t="s">
        <v>271</v>
      </c>
      <c r="B32" s="224" t="s">
        <v>140</v>
      </c>
      <c r="C32" s="224">
        <v>19</v>
      </c>
      <c r="D32" s="224" t="s">
        <v>272</v>
      </c>
      <c r="E32" s="225" t="str">
        <f t="shared" ca="1" si="8"/>
        <v>MR</v>
      </c>
      <c r="F32" s="365"/>
      <c r="G32" s="366">
        <f t="shared" ca="1" si="1"/>
        <v>30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9">
      <c r="A33" s="223" t="s">
        <v>273</v>
      </c>
      <c r="B33" s="224" t="s">
        <v>140</v>
      </c>
      <c r="C33" s="224">
        <v>19</v>
      </c>
      <c r="D33" s="224" t="s">
        <v>274</v>
      </c>
      <c r="E33" s="225" t="str">
        <f t="shared" ca="1" si="8"/>
        <v>R</v>
      </c>
      <c r="F33" s="365"/>
      <c r="G33" s="366">
        <f t="shared" ca="1" si="1"/>
        <v>33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9">
      <c r="A34" s="223" t="s">
        <v>358</v>
      </c>
      <c r="B34" s="224" t="s">
        <v>140</v>
      </c>
      <c r="C34" s="224">
        <v>19</v>
      </c>
      <c r="D34" s="224" t="s">
        <v>359</v>
      </c>
      <c r="E34" s="225" t="str">
        <f t="shared" ca="1" si="8"/>
        <v>R</v>
      </c>
      <c r="F34" s="365"/>
      <c r="G34" s="366">
        <f t="shared" ca="1" si="1"/>
        <v>56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3.9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65"/>
      <c r="G35" s="366">
        <f t="shared" ca="1" si="1"/>
        <v>39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9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9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MR</v>
      </c>
      <c r="F37" s="365"/>
      <c r="G37" s="366">
        <f t="shared" ca="1" si="1"/>
        <v>43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9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65"/>
      <c r="G38" s="366">
        <f t="shared" ca="1" si="1"/>
        <v>44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362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9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65"/>
      <c r="G39" s="366">
        <f t="shared" ca="1" si="1"/>
        <v>46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9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65"/>
      <c r="G40" s="366">
        <f t="shared" ca="1" si="1"/>
        <v>49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139</v>
      </c>
      <c r="AS40" s="207">
        <v>20</v>
      </c>
      <c r="AT40" s="207" t="s">
        <v>302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9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65"/>
      <c r="G41" s="366">
        <f t="shared" ca="1" si="1"/>
        <v>12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9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65"/>
      <c r="G42" s="366">
        <f t="shared" ca="1" si="1"/>
        <v>13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9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65"/>
      <c r="G43" s="366">
        <f t="shared" ca="1" si="1"/>
        <v>21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9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65"/>
      <c r="G44" s="366">
        <f t="shared" ca="1" si="1"/>
        <v>25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9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65"/>
      <c r="G45" s="366">
        <f t="shared" ca="1" si="1"/>
        <v>29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34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36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285</v>
      </c>
      <c r="B48" s="224" t="s">
        <v>141</v>
      </c>
      <c r="C48" s="224">
        <v>18</v>
      </c>
      <c r="D48" s="224" t="s">
        <v>286</v>
      </c>
      <c r="E48" s="225" t="str">
        <f t="shared" ca="1" si="8"/>
        <v>R</v>
      </c>
      <c r="F48" s="365"/>
      <c r="G48" s="366">
        <f t="shared" ca="1" si="1"/>
        <v>40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9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65"/>
      <c r="G50" s="366">
        <f t="shared" ca="1" si="1"/>
        <v>26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65"/>
      <c r="G51" s="366">
        <f t="shared" ca="1" si="1"/>
        <v>28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9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65"/>
      <c r="G52" s="366">
        <f t="shared" ca="1" si="1"/>
        <v>57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9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9">
      <c r="A54" s="223" t="s">
        <v>259</v>
      </c>
      <c r="B54" s="224" t="s">
        <v>177</v>
      </c>
      <c r="C54" s="224">
        <v>14</v>
      </c>
      <c r="D54" s="224" t="s">
        <v>260</v>
      </c>
      <c r="E54" s="225" t="str">
        <f t="shared" ca="1" si="8"/>
        <v>MR</v>
      </c>
      <c r="F54" s="365"/>
      <c r="G54" s="366">
        <f t="shared" ca="1" si="1"/>
        <v>55</v>
      </c>
      <c r="H54" s="367"/>
      <c r="I54" s="367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9">
      <c r="A55" s="223"/>
      <c r="B55" s="224"/>
      <c r="C55" s="224"/>
      <c r="D55" s="224"/>
      <c r="E55" s="225" t="str">
        <f t="shared" ca="1" si="8"/>
        <v/>
      </c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18.979591836734695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-- 2017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Reg_Percent_2016</v>
      </c>
      <c r="G2" s="172" t="s">
        <v>356</v>
      </c>
      <c r="AJ2" s="173" t="str">
        <f>AJ4 &amp; AJ3</f>
        <v>'Credit_2016Q4'!d:d</v>
      </c>
      <c r="AK2" s="173" t="str">
        <f>AK4 &amp; AK3</f>
        <v>'Credit_2016Q4'!b1</v>
      </c>
      <c r="AL2" s="173" t="str">
        <f>AL4 &amp; AL3</f>
        <v>'Credit_2016Q4'!c1</v>
      </c>
      <c r="AQ2" s="169"/>
    </row>
    <row r="3" spans="1:61" ht="18" hidden="1" outlineLevel="1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'Credit_2016Q4'!</v>
      </c>
      <c r="AK4" s="169" t="str">
        <f t="shared" ref="AK4:AL4" si="0">$AQ$5</f>
        <v>'Credit_2016Q4'!</v>
      </c>
      <c r="AL4" s="169" t="str">
        <f t="shared" si="0"/>
        <v>'Credit_2016Q4'!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(49)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(14)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364</v>
      </c>
    </row>
    <row r="6" spans="1:61" ht="28.5" customHeight="1">
      <c r="A6" s="219" t="s">
        <v>212</v>
      </c>
      <c r="B6" s="220" t="s">
        <v>68</v>
      </c>
      <c r="C6" s="249" t="s">
        <v>214</v>
      </c>
      <c r="D6" s="221"/>
      <c r="E6" s="222">
        <f ca="1">INDIRECT( E3 &amp; G1 )</f>
        <v>42735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58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1" ca="1" si="8">IF( LEN( $G8 ) = 0, "", OFFSET( INDIRECT( E$3 &amp; E$4 ), $G8 - 1, 0 ) )</f>
        <v>R</v>
      </c>
      <c r="F8" s="365"/>
      <c r="G8" s="366">
        <f t="shared" ca="1" si="1"/>
        <v>24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0.26530612244897961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65"/>
      <c r="G10" s="366">
        <f t="shared" ca="1" si="1"/>
        <v>10</v>
      </c>
      <c r="H10" s="367"/>
      <c r="I10" s="234"/>
      <c r="J10" s="215" t="s">
        <v>140</v>
      </c>
      <c r="K10" s="234"/>
      <c r="L10" s="215">
        <f t="shared" si="9"/>
        <v>19</v>
      </c>
      <c r="M10" s="216">
        <f t="shared" si="10"/>
        <v>0.38775510204081631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19</v>
      </c>
      <c r="AE10" s="184"/>
      <c r="AF10" s="169">
        <f t="shared" si="2"/>
        <v>0</v>
      </c>
      <c r="AG10" s="169">
        <f t="shared" ca="1" si="3"/>
        <v>1</v>
      </c>
      <c r="AH10" s="169" t="str">
        <f t="shared" ca="1" si="18"/>
        <v/>
      </c>
      <c r="AJ10" s="169">
        <f t="shared" ca="1" si="19"/>
        <v>23</v>
      </c>
      <c r="AK10" s="169" t="str">
        <f t="shared" ca="1" si="20"/>
        <v>BBB+</v>
      </c>
      <c r="AL10" s="169">
        <f t="shared" ca="1" si="20"/>
        <v>19</v>
      </c>
      <c r="AM10" s="169" t="str">
        <f t="shared" ca="1" si="4"/>
        <v>Change</v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9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65"/>
      <c r="G11" s="366">
        <f t="shared" ca="1" si="1"/>
        <v>14</v>
      </c>
      <c r="H11" s="367"/>
      <c r="I11" s="234"/>
      <c r="J11" s="215" t="s">
        <v>141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9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65"/>
      <c r="G12" s="366">
        <f t="shared" ca="1" si="1"/>
        <v>16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35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38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18.959183673469386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19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18.857142857142858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35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65"/>
      <c r="G17" s="366">
        <f t="shared" ca="1" si="1"/>
        <v>41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38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9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9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65"/>
      <c r="G19" s="366">
        <f t="shared" ca="1" si="1"/>
        <v>47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45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9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65"/>
      <c r="G20" s="366">
        <f t="shared" ca="1" si="1"/>
        <v>48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177</v>
      </c>
      <c r="AS20" s="207">
        <v>14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47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9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65"/>
      <c r="G21" s="366">
        <f t="shared" ca="1" si="1"/>
        <v>50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48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9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65"/>
      <c r="G22" s="366">
        <f t="shared" ca="1" si="1"/>
        <v>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9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65"/>
      <c r="G23" s="366">
        <f t="shared" ca="1" si="1"/>
        <v>9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361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65"/>
      <c r="G26" s="366">
        <f t="shared" ca="1" si="1"/>
        <v>17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65"/>
      <c r="G27" s="366">
        <f t="shared" ca="1" si="1"/>
        <v>18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65"/>
      <c r="G28" s="366">
        <f t="shared" ca="1" si="1"/>
        <v>20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9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65"/>
      <c r="G29" s="366">
        <f t="shared" ca="1" si="1"/>
        <v>23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9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65"/>
      <c r="G30" s="366">
        <f t="shared" ca="1" si="1"/>
        <v>27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9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65"/>
      <c r="G31" s="366">
        <f t="shared" ca="1" si="1"/>
        <v>30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9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65"/>
      <c r="G32" s="366">
        <f t="shared" ca="1" si="1"/>
        <v>33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9">
      <c r="A33" s="223" t="s">
        <v>358</v>
      </c>
      <c r="B33" s="224" t="s">
        <v>140</v>
      </c>
      <c r="C33" s="224">
        <v>19</v>
      </c>
      <c r="D33" s="224" t="s">
        <v>359</v>
      </c>
      <c r="E33" s="225" t="str">
        <f t="shared" ca="1" si="8"/>
        <v>R</v>
      </c>
      <c r="F33" s="365"/>
      <c r="G33" s="366">
        <f t="shared" ca="1" si="1"/>
        <v>56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si="3"/>
        <v/>
      </c>
      <c r="AH33" s="169" t="str">
        <f t="shared" si="18"/>
        <v/>
      </c>
      <c r="AJ33" s="169">
        <f t="shared" ca="1" si="19"/>
        <v>62</v>
      </c>
      <c r="AK33" s="330" t="s">
        <v>140</v>
      </c>
      <c r="AL33" s="330">
        <v>19</v>
      </c>
      <c r="AM33" s="169" t="str">
        <f t="shared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32</v>
      </c>
      <c r="BF33" s="173" t="str">
        <f t="shared" ca="1" si="7"/>
        <v>Oncor Electric Delivery Company LLC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**EFH</v>
      </c>
    </row>
    <row r="34" spans="1:61" ht="13.9">
      <c r="A34" s="223" t="s">
        <v>301</v>
      </c>
      <c r="B34" s="224" t="s">
        <v>140</v>
      </c>
      <c r="C34" s="224">
        <v>19</v>
      </c>
      <c r="D34" s="224" t="s">
        <v>302</v>
      </c>
      <c r="E34" s="225" t="str">
        <f t="shared" ca="1" si="8"/>
        <v>R</v>
      </c>
      <c r="F34" s="365"/>
      <c r="G34" s="366">
        <f t="shared" ca="1" si="1"/>
        <v>37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34</v>
      </c>
      <c r="BF34" s="173" t="str">
        <f t="shared" ca="1" si="7"/>
        <v>PG&amp;E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PCG</v>
      </c>
    </row>
    <row r="35" spans="1:61" ht="13.9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65"/>
      <c r="G35" s="366">
        <f t="shared" ca="1" si="1"/>
        <v>39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9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65"/>
      <c r="G36" s="366">
        <f t="shared" ca="1" si="1"/>
        <v>42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9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MR</v>
      </c>
      <c r="F37" s="365"/>
      <c r="G37" s="366">
        <f t="shared" ca="1" si="1"/>
        <v>43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9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65"/>
      <c r="G38" s="366">
        <f t="shared" ca="1" si="1"/>
        <v>44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359</v>
      </c>
      <c r="AV38" s="168">
        <f t="shared" si="21"/>
        <v>16</v>
      </c>
      <c r="AW38" s="168">
        <f>COUNTIF( AV$7:AV38, AV38 )</f>
        <v>12</v>
      </c>
      <c r="AX38" s="208">
        <f t="shared" si="22"/>
        <v>17.2</v>
      </c>
      <c r="AY38" s="168">
        <f t="shared" si="23"/>
        <v>27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9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65"/>
      <c r="G39" s="366">
        <f t="shared" ca="1" si="1"/>
        <v>46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9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65"/>
      <c r="G40" s="366">
        <f t="shared" ca="1" si="1"/>
        <v>49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140</v>
      </c>
      <c r="AS40" s="207">
        <v>19</v>
      </c>
      <c r="AT40" s="207" t="s">
        <v>302</v>
      </c>
      <c r="AV40" s="168">
        <f t="shared" si="21"/>
        <v>16</v>
      </c>
      <c r="AW40" s="168">
        <f>COUNTIF( AV$7:AV40, AV40 )</f>
        <v>13</v>
      </c>
      <c r="AX40" s="208">
        <f t="shared" si="22"/>
        <v>17.3</v>
      </c>
      <c r="AY40" s="168">
        <f t="shared" si="23"/>
        <v>28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9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65"/>
      <c r="G41" s="366">
        <f t="shared" ca="1" si="1"/>
        <v>12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8</v>
      </c>
      <c r="AX41" s="208">
        <f t="shared" si="22"/>
        <v>3.8</v>
      </c>
      <c r="AY41" s="168">
        <f t="shared" si="23"/>
        <v>10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9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65"/>
      <c r="G42" s="366">
        <f t="shared" ca="1" si="1"/>
        <v>13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9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65"/>
      <c r="G43" s="366">
        <f t="shared" ca="1" si="1"/>
        <v>21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9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65"/>
      <c r="G44" s="366">
        <f t="shared" ca="1" si="1"/>
        <v>25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9</v>
      </c>
      <c r="AX44" s="208">
        <f t="shared" si="22"/>
        <v>3.9</v>
      </c>
      <c r="AY44" s="168">
        <f t="shared" si="23"/>
        <v>11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9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65"/>
      <c r="G45" s="366">
        <f t="shared" ca="1" si="1"/>
        <v>29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16</v>
      </c>
      <c r="AW45" s="168">
        <f>COUNTIF( AV$7:AV45, AV45 )</f>
        <v>15</v>
      </c>
      <c r="AX45" s="208">
        <f t="shared" si="22"/>
        <v>17.5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34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36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285</v>
      </c>
      <c r="B48" s="224" t="s">
        <v>141</v>
      </c>
      <c r="C48" s="224">
        <v>18</v>
      </c>
      <c r="D48" s="224" t="s">
        <v>286</v>
      </c>
      <c r="E48" s="225" t="str">
        <f t="shared" ca="1" si="8"/>
        <v>R</v>
      </c>
      <c r="F48" s="365"/>
      <c r="G48" s="366">
        <f t="shared" ca="1" si="1"/>
        <v>40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16</v>
      </c>
      <c r="AW48" s="168">
        <f>COUNTIF( AV$7:AV48, AV48 )</f>
        <v>17</v>
      </c>
      <c r="AX48" s="208">
        <f t="shared" si="22"/>
        <v>17.7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9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65"/>
      <c r="G50" s="366">
        <f t="shared" ca="1" si="1"/>
        <v>26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16</v>
      </c>
      <c r="AW50" s="168">
        <f>COUNTIF( AV$7:AV50, AV50 )</f>
        <v>18</v>
      </c>
      <c r="AX50" s="208">
        <f t="shared" si="22"/>
        <v>17.8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65"/>
      <c r="G51" s="366">
        <f t="shared" ca="1" si="1"/>
        <v>28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11</v>
      </c>
      <c r="AX51" s="208">
        <f t="shared" si="22"/>
        <v>4.0999999999999996</v>
      </c>
      <c r="AY51" s="168">
        <f t="shared" si="23"/>
        <v>13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9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65"/>
      <c r="G52" s="366">
        <f t="shared" ca="1" si="1"/>
        <v>57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16</v>
      </c>
      <c r="AW52" s="168">
        <f>COUNTIF( AV$7:AV52, AV52 )</f>
        <v>19</v>
      </c>
      <c r="AX52" s="208">
        <f t="shared" si="22"/>
        <v>17.899999999999999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9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12</v>
      </c>
      <c r="AX53" s="208">
        <f t="shared" si="22"/>
        <v>4.2</v>
      </c>
      <c r="AY53" s="168">
        <f t="shared" si="23"/>
        <v>14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9">
      <c r="A54" s="223" t="s">
        <v>259</v>
      </c>
      <c r="B54" s="224" t="s">
        <v>177</v>
      </c>
      <c r="C54" s="224">
        <v>14</v>
      </c>
      <c r="D54" s="224" t="s">
        <v>260</v>
      </c>
      <c r="E54" s="225" t="str">
        <f t="shared" ca="1" si="8"/>
        <v>MR</v>
      </c>
      <c r="F54" s="365"/>
      <c r="G54" s="366">
        <f t="shared" ca="1" si="1"/>
        <v>55</v>
      </c>
      <c r="H54" s="367"/>
      <c r="I54" s="367"/>
      <c r="J54" s="191"/>
      <c r="K54" s="191"/>
      <c r="AF54" s="169">
        <f t="shared" si="2"/>
        <v>0</v>
      </c>
      <c r="AG54" s="169" t="str">
        <f t="shared" ca="1" si="3"/>
        <v/>
      </c>
      <c r="AH54" s="169">
        <f t="shared" ca="1" si="18"/>
        <v>1</v>
      </c>
      <c r="AJ54" s="169">
        <f t="shared" ca="1" si="19"/>
        <v>55</v>
      </c>
      <c r="AK54" s="169" t="str">
        <f t="shared" ca="1" si="20"/>
        <v>BB</v>
      </c>
      <c r="AL54" s="169">
        <f t="shared" ca="1" si="20"/>
        <v>15</v>
      </c>
      <c r="AM54" s="169" t="str">
        <f t="shared" ca="1" si="4"/>
        <v>Change</v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13</v>
      </c>
      <c r="AX54" s="208">
        <f t="shared" si="22"/>
        <v>4.3</v>
      </c>
      <c r="AY54" s="168">
        <f t="shared" si="23"/>
        <v>15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9">
      <c r="A55" s="223"/>
      <c r="B55" s="224"/>
      <c r="C55" s="224"/>
      <c r="D55" s="224"/>
      <c r="E55" s="225" t="str">
        <f t="shared" ca="1" si="8"/>
        <v/>
      </c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18.959183673469386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18.959183673469386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-- 2016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Reg_Percent_2015</v>
      </c>
      <c r="G2" s="172" t="s">
        <v>365</v>
      </c>
      <c r="AJ2" s="173" t="str">
        <f>AJ4 &amp; AJ3</f>
        <v>'Credit_2016Q3'!d:d</v>
      </c>
      <c r="AK2" s="173" t="str">
        <f>AK4 &amp; AK3</f>
        <v>'Credit_2016Q3'!b1</v>
      </c>
      <c r="AL2" s="173" t="str">
        <f>AL4 &amp; AL3</f>
        <v>'Credit_2016Q3'!c1</v>
      </c>
      <c r="AQ2" s="169"/>
    </row>
    <row r="3" spans="1:61" ht="18" hidden="1" outlineLevel="1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'Credit_2016Q3'!</v>
      </c>
      <c r="AK4" s="169" t="str">
        <f t="shared" ref="AK4:AL4" si="0">$AQ$5</f>
        <v>'Credit_2016Q3'!</v>
      </c>
      <c r="AL4" s="169" t="str">
        <f t="shared" si="0"/>
        <v>'Credit_2016Q3'!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(50)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(12)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366</v>
      </c>
    </row>
    <row r="6" spans="1:61" ht="28.5" customHeight="1">
      <c r="A6" s="219" t="s">
        <v>212</v>
      </c>
      <c r="B6" s="220" t="s">
        <v>67</v>
      </c>
      <c r="C6" s="249" t="s">
        <v>214</v>
      </c>
      <c r="D6" s="221"/>
      <c r="E6" s="222">
        <f ca="1">INDIRECT( E3 &amp; G1 )</f>
        <v>42369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60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25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65"/>
      <c r="G10" s="366">
        <f t="shared" ca="1" si="1"/>
        <v>14</v>
      </c>
      <c r="H10" s="367"/>
      <c r="I10" s="234"/>
      <c r="J10" s="215" t="s">
        <v>140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140</v>
      </c>
      <c r="AS10" s="207">
        <v>19</v>
      </c>
      <c r="AT10" s="207" t="s">
        <v>223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20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33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18.940000000000001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19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17.5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46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65"/>
      <c r="G18" s="366">
        <f t="shared" ca="1" si="1"/>
        <v>49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50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222</v>
      </c>
      <c r="B23" s="224" t="s">
        <v>140</v>
      </c>
      <c r="C23" s="224">
        <v>19</v>
      </c>
      <c r="D23" s="224" t="s">
        <v>223</v>
      </c>
      <c r="E23" s="225" t="str">
        <f t="shared" ca="1" si="8"/>
        <v>R</v>
      </c>
      <c r="F23" s="365"/>
      <c r="G23" s="366">
        <f t="shared" ca="1" si="1"/>
        <v>10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16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361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140</v>
      </c>
      <c r="AS26" s="207">
        <v>19</v>
      </c>
      <c r="AT26" s="207" t="s">
        <v>268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R</v>
      </c>
      <c r="F27" s="365"/>
      <c r="G27" s="366">
        <f t="shared" ca="1" si="1"/>
        <v>19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65"/>
      <c r="G28" s="366">
        <f t="shared" ca="1" si="1"/>
        <v>21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9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65"/>
      <c r="G29" s="366">
        <f t="shared" ca="1" si="1"/>
        <v>24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9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65"/>
      <c r="G30" s="366">
        <f t="shared" ca="1" si="1"/>
        <v>28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9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65"/>
      <c r="G31" s="366">
        <f t="shared" ca="1" si="1"/>
        <v>31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9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9">
      <c r="A33" s="223" t="s">
        <v>301</v>
      </c>
      <c r="B33" s="224" t="s">
        <v>140</v>
      </c>
      <c r="C33" s="224">
        <v>19</v>
      </c>
      <c r="D33" s="224" t="s">
        <v>302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9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65"/>
      <c r="G34" s="366">
        <f t="shared" ca="1" si="1"/>
        <v>40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347</v>
      </c>
      <c r="B36" s="224" t="s">
        <v>140</v>
      </c>
      <c r="C36" s="224">
        <v>19</v>
      </c>
      <c r="D36" s="224" t="s">
        <v>348</v>
      </c>
      <c r="E36" s="225" t="str">
        <f t="shared" ca="1" si="8"/>
        <v>MR</v>
      </c>
      <c r="F36" s="365"/>
      <c r="G36" s="366">
        <f t="shared" ca="1" si="1"/>
        <v>44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3.9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65"/>
      <c r="G37" s="366">
        <f t="shared" ca="1" si="1"/>
        <v>45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9">
      <c r="A38" s="223" t="s">
        <v>369</v>
      </c>
      <c r="B38" s="224" t="s">
        <v>140</v>
      </c>
      <c r="C38" s="224">
        <v>19</v>
      </c>
      <c r="D38" s="224" t="s">
        <v>370</v>
      </c>
      <c r="E38" s="225" t="str">
        <f t="shared" ca="1" si="8"/>
        <v>R</v>
      </c>
      <c r="F38" s="365"/>
      <c r="G38" s="366">
        <f t="shared" ca="1" si="1"/>
        <v>19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3.9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65"/>
      <c r="G39" s="366">
        <f t="shared" ca="1" si="1"/>
        <v>48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9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65"/>
      <c r="G40" s="366">
        <f t="shared" ca="1" si="1"/>
        <v>51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140</v>
      </c>
      <c r="AS40" s="207">
        <v>19</v>
      </c>
      <c r="AT40" s="207" t="s">
        <v>302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9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65"/>
      <c r="G41" s="366">
        <f t="shared" ca="1" si="1"/>
        <v>12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9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65"/>
      <c r="G42" s="366">
        <f t="shared" ca="1" si="1"/>
        <v>13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9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65"/>
      <c r="G43" s="366">
        <f t="shared" ca="1" si="1"/>
        <v>22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9">
      <c r="A44" s="223" t="s">
        <v>367</v>
      </c>
      <c r="B44" s="224" t="s">
        <v>141</v>
      </c>
      <c r="C44" s="224">
        <v>18</v>
      </c>
      <c r="D44" s="224" t="s">
        <v>368</v>
      </c>
      <c r="E44" s="225" t="str">
        <f t="shared" ca="1" si="8"/>
        <v>R</v>
      </c>
      <c r="F44" s="365"/>
      <c r="G44" s="366">
        <f t="shared" ca="1" si="1"/>
        <v>23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9">
      <c r="A45" s="223" t="s">
        <v>269</v>
      </c>
      <c r="B45" s="224" t="s">
        <v>141</v>
      </c>
      <c r="C45" s="224">
        <v>18</v>
      </c>
      <c r="D45" s="224" t="s">
        <v>270</v>
      </c>
      <c r="E45" s="225" t="str">
        <f t="shared" ca="1" si="8"/>
        <v>D</v>
      </c>
      <c r="F45" s="365"/>
      <c r="G45" s="366">
        <f t="shared" ca="1" si="1"/>
        <v>26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9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65"/>
      <c r="G46" s="366">
        <f t="shared" ca="1" si="1"/>
        <v>30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9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65"/>
      <c r="G47" s="366">
        <f t="shared" ca="1" si="1"/>
        <v>35</v>
      </c>
      <c r="H47" s="367"/>
      <c r="I47" s="367"/>
      <c r="J47" s="187" t="s">
        <v>307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9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65"/>
      <c r="G48" s="366">
        <f t="shared" ca="1" si="1"/>
        <v>37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9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65"/>
      <c r="G49" s="366">
        <f t="shared" ca="1" si="1"/>
        <v>41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9">
      <c r="A50" s="223" t="s">
        <v>254</v>
      </c>
      <c r="B50" s="224" t="s">
        <v>142</v>
      </c>
      <c r="C50" s="224">
        <v>17</v>
      </c>
      <c r="D50" s="224" t="s">
        <v>255</v>
      </c>
      <c r="E50" s="225" t="str">
        <f t="shared" ca="1" si="8"/>
        <v>R</v>
      </c>
      <c r="F50" s="365"/>
      <c r="G50" s="366">
        <f t="shared" ca="1" si="1"/>
        <v>15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369</v>
      </c>
      <c r="AR50" s="207" t="s">
        <v>140</v>
      </c>
      <c r="AS50" s="207">
        <v>19</v>
      </c>
      <c r="AT50" s="207" t="s">
        <v>370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9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65"/>
      <c r="G51" s="366">
        <f t="shared" ca="1" si="1"/>
        <v>27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296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9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65"/>
      <c r="G52" s="366">
        <f t="shared" ca="1" si="1"/>
        <v>29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9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9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65"/>
      <c r="G54" s="366">
        <f t="shared" ca="1" si="1"/>
        <v>61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9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65"/>
      <c r="G55" s="366">
        <f t="shared" ca="1" si="1"/>
        <v>57</v>
      </c>
      <c r="H55" s="367"/>
      <c r="I55" s="367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32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65"/>
      <c r="G62" s="366">
        <f t="shared" ca="1" si="1"/>
        <v>58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18.920000000000002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-- 2016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Reg_Percent_2015</v>
      </c>
      <c r="G2" s="172" t="s">
        <v>365</v>
      </c>
      <c r="AJ2" s="173" t="str">
        <f>AJ4 &amp; AJ3</f>
        <v>'Credit_2016Q2'!d:d</v>
      </c>
      <c r="AK2" s="173" t="str">
        <f>AK4 &amp; AK3</f>
        <v>'Credit_2016Q2'!b1</v>
      </c>
      <c r="AL2" s="173" t="str">
        <f>AL4 &amp; AL3</f>
        <v>'Credit_2016Q2'!c1</v>
      </c>
      <c r="AQ2" s="169"/>
    </row>
    <row r="3" spans="1:61" ht="18" hidden="1" outlineLevel="1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'Credit_2016Q2'!</v>
      </c>
      <c r="AK4" s="169" t="str">
        <f t="shared" ref="AK4:AL4" si="0">$AQ$5</f>
        <v>'Credit_2016Q2'!</v>
      </c>
      <c r="AL4" s="169" t="str">
        <f t="shared" si="0"/>
        <v>'Credit_2016Q2'!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(50)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(12)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372</v>
      </c>
    </row>
    <row r="6" spans="1:61" ht="28.5" customHeight="1">
      <c r="A6" s="219" t="s">
        <v>212</v>
      </c>
      <c r="B6" s="220" t="s">
        <v>66</v>
      </c>
      <c r="C6" s="249" t="s">
        <v>214</v>
      </c>
      <c r="D6" s="221"/>
      <c r="E6" s="222">
        <f ca="1">INDIRECT( E3 &amp; G1 )</f>
        <v>42369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60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25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65"/>
      <c r="G10" s="366">
        <f t="shared" ca="1" si="1"/>
        <v>14</v>
      </c>
      <c r="H10" s="367"/>
      <c r="I10" s="234"/>
      <c r="J10" s="215" t="s">
        <v>140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140</v>
      </c>
      <c r="AS10" s="207">
        <v>19</v>
      </c>
      <c r="AT10" s="207" t="s">
        <v>223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20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33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18.940000000000001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19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17.5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46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65"/>
      <c r="G18" s="366">
        <f t="shared" ca="1" si="1"/>
        <v>49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50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222</v>
      </c>
      <c r="B23" s="224" t="s">
        <v>140</v>
      </c>
      <c r="C23" s="224">
        <v>19</v>
      </c>
      <c r="D23" s="224" t="s">
        <v>223</v>
      </c>
      <c r="E23" s="225" t="str">
        <f t="shared" ca="1" si="8"/>
        <v>R</v>
      </c>
      <c r="F23" s="365"/>
      <c r="G23" s="366">
        <f t="shared" ca="1" si="1"/>
        <v>10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38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3.9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65"/>
      <c r="G24" s="366">
        <f t="shared" ca="1" si="1"/>
        <v>11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16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361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140</v>
      </c>
      <c r="AS26" s="207">
        <v>19</v>
      </c>
      <c r="AT26" s="207" t="s">
        <v>268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9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R</v>
      </c>
      <c r="F27" s="365"/>
      <c r="G27" s="366">
        <f t="shared" ca="1" si="1"/>
        <v>19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9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65"/>
      <c r="G28" s="366">
        <f t="shared" ca="1" si="1"/>
        <v>21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9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65"/>
      <c r="G29" s="366">
        <f t="shared" ca="1" si="1"/>
        <v>24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43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9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65"/>
      <c r="G30" s="366">
        <f t="shared" ca="1" si="1"/>
        <v>28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9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65"/>
      <c r="G31" s="366">
        <f t="shared" ca="1" si="1"/>
        <v>31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9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65"/>
      <c r="G32" s="366">
        <f t="shared" ca="1" si="1"/>
        <v>34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9">
      <c r="A33" s="223" t="s">
        <v>301</v>
      </c>
      <c r="B33" s="224" t="s">
        <v>140</v>
      </c>
      <c r="C33" s="224">
        <v>19</v>
      </c>
      <c r="D33" s="224" t="s">
        <v>302</v>
      </c>
      <c r="E33" s="225" t="str">
        <f t="shared" ca="1" si="8"/>
        <v>R</v>
      </c>
      <c r="F33" s="365"/>
      <c r="G33" s="366">
        <f t="shared" ca="1" si="1"/>
        <v>38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>
        <f t="shared" ca="1" si="3"/>
        <v>1</v>
      </c>
      <c r="AH33" s="169" t="str">
        <f t="shared" ca="1" si="18"/>
        <v/>
      </c>
      <c r="AJ33" s="169">
        <f t="shared" ca="1" si="19"/>
        <v>48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4"/>
        <v>Change</v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9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65"/>
      <c r="G34" s="366">
        <f t="shared" ca="1" si="1"/>
        <v>40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31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3.9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9">
      <c r="A36" s="223" t="s">
        <v>347</v>
      </c>
      <c r="B36" s="224" t="s">
        <v>140</v>
      </c>
      <c r="C36" s="224">
        <v>19</v>
      </c>
      <c r="D36" s="224" t="s">
        <v>348</v>
      </c>
      <c r="E36" s="225" t="str">
        <f t="shared" ca="1" si="8"/>
        <v>MR</v>
      </c>
      <c r="F36" s="365"/>
      <c r="G36" s="366">
        <f t="shared" ca="1" si="1"/>
        <v>44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3.9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65"/>
      <c r="G37" s="366">
        <f t="shared" ca="1" si="1"/>
        <v>45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9">
      <c r="A38" s="223" t="s">
        <v>369</v>
      </c>
      <c r="B38" s="224" t="s">
        <v>140</v>
      </c>
      <c r="C38" s="224">
        <v>19</v>
      </c>
      <c r="D38" s="224" t="s">
        <v>370</v>
      </c>
      <c r="E38" s="225" t="str">
        <f t="shared" ca="1" si="8"/>
        <v>R</v>
      </c>
      <c r="F38" s="365"/>
      <c r="G38" s="366">
        <f t="shared" ca="1" si="1"/>
        <v>19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3.9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65"/>
      <c r="G39" s="366">
        <f t="shared" ca="1" si="1"/>
        <v>48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9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65"/>
      <c r="G40" s="366">
        <f t="shared" ca="1" si="1"/>
        <v>51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140</v>
      </c>
      <c r="AS40" s="207">
        <v>19</v>
      </c>
      <c r="AT40" s="207" t="s">
        <v>302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9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65"/>
      <c r="G41" s="366">
        <f t="shared" ca="1" si="1"/>
        <v>12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9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65"/>
      <c r="G42" s="366">
        <f t="shared" ca="1" si="1"/>
        <v>13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9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65"/>
      <c r="G43" s="366">
        <f t="shared" ca="1" si="1"/>
        <v>22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9">
      <c r="A44" s="223" t="s">
        <v>367</v>
      </c>
      <c r="B44" s="224" t="s">
        <v>141</v>
      </c>
      <c r="C44" s="224">
        <v>18</v>
      </c>
      <c r="D44" s="224" t="s">
        <v>368</v>
      </c>
      <c r="E44" s="225" t="str">
        <f t="shared" ca="1" si="8"/>
        <v>R</v>
      </c>
      <c r="F44" s="365"/>
      <c r="G44" s="366">
        <f t="shared" ca="1" si="1"/>
        <v>23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9">
      <c r="A45" s="223" t="s">
        <v>269</v>
      </c>
      <c r="B45" s="224" t="s">
        <v>141</v>
      </c>
      <c r="C45" s="224">
        <v>18</v>
      </c>
      <c r="D45" s="224" t="s">
        <v>270</v>
      </c>
      <c r="E45" s="225" t="str">
        <f t="shared" ca="1" si="8"/>
        <v>D</v>
      </c>
      <c r="F45" s="365"/>
      <c r="G45" s="366">
        <f t="shared" ca="1" si="1"/>
        <v>26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9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65"/>
      <c r="G46" s="366">
        <f t="shared" ca="1" si="1"/>
        <v>30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9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65"/>
      <c r="G47" s="366">
        <f t="shared" ca="1" si="1"/>
        <v>35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9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65"/>
      <c r="G48" s="366">
        <f t="shared" ca="1" si="1"/>
        <v>37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9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65"/>
      <c r="G49" s="366">
        <f t="shared" ca="1" si="1"/>
        <v>41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9">
      <c r="A50" s="223" t="s">
        <v>254</v>
      </c>
      <c r="B50" s="224" t="s">
        <v>142</v>
      </c>
      <c r="C50" s="224">
        <v>17</v>
      </c>
      <c r="D50" s="224" t="s">
        <v>255</v>
      </c>
      <c r="E50" s="225" t="str">
        <f t="shared" ca="1" si="8"/>
        <v>R</v>
      </c>
      <c r="F50" s="365"/>
      <c r="G50" s="366">
        <f t="shared" ca="1" si="1"/>
        <v>15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369</v>
      </c>
      <c r="AR50" s="207" t="s">
        <v>140</v>
      </c>
      <c r="AS50" s="207">
        <v>19</v>
      </c>
      <c r="AT50" s="207" t="s">
        <v>370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9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65"/>
      <c r="G51" s="366">
        <f t="shared" ca="1" si="1"/>
        <v>27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296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9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65"/>
      <c r="G52" s="366">
        <f t="shared" ca="1" si="1"/>
        <v>29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9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9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65"/>
      <c r="G54" s="366">
        <f t="shared" ca="1" si="1"/>
        <v>61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9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65"/>
      <c r="G55" s="366">
        <f t="shared" ca="1" si="1"/>
        <v>57</v>
      </c>
      <c r="H55" s="367"/>
      <c r="I55" s="367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32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65"/>
      <c r="G62" s="366">
        <f t="shared" ca="1" si="1"/>
        <v>58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18.920000000000002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-- 2016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Reg_Percent_2015</v>
      </c>
      <c r="G2" s="172" t="s">
        <v>365</v>
      </c>
      <c r="AJ2" s="173" t="str">
        <f>AJ4 &amp; AJ3</f>
        <v>'Credit_2016Q1'!d:d</v>
      </c>
      <c r="AK2" s="173" t="str">
        <f>AK4 &amp; AK3</f>
        <v>'Credit_2016Q1'!b1</v>
      </c>
      <c r="AL2" s="173" t="str">
        <f>AL4 &amp; AL3</f>
        <v>'Credit_2016Q1'!c1</v>
      </c>
      <c r="AQ2" s="169"/>
    </row>
    <row r="3" spans="1:61" ht="18" hidden="1" outlineLevel="1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'Credit_2016Q1'!</v>
      </c>
      <c r="AK4" s="169" t="str">
        <f t="shared" ref="AK4:AL4" si="0">$AQ$5</f>
        <v>'Credit_2016Q1'!</v>
      </c>
      <c r="AL4" s="169" t="str">
        <f t="shared" si="0"/>
        <v>'Credit_2016Q1'!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(50)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(12)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374</v>
      </c>
    </row>
    <row r="6" spans="1:61" ht="28.5" customHeight="1">
      <c r="A6" s="219" t="s">
        <v>212</v>
      </c>
      <c r="B6" s="220" t="s">
        <v>65</v>
      </c>
      <c r="C6" s="249" t="s">
        <v>214</v>
      </c>
      <c r="D6" s="221"/>
      <c r="E6" s="222">
        <f ca="1">INDIRECT( E3 &amp; G1 )</f>
        <v>42369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60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25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65"/>
      <c r="G10" s="366">
        <f t="shared" ca="1" si="1"/>
        <v>14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10</v>
      </c>
      <c r="P10" s="216">
        <f t="shared" ca="1" si="12"/>
        <v>0.27777777777777779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12</v>
      </c>
      <c r="M11" s="216">
        <f t="shared" si="10"/>
        <v>0.24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12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15</v>
      </c>
      <c r="AW11" s="168">
        <f>COUNTIF( AV$7:AV11, AV11 )</f>
        <v>3</v>
      </c>
      <c r="AX11" s="208">
        <f t="shared" si="22"/>
        <v>15.3</v>
      </c>
      <c r="AY11" s="168">
        <f t="shared" si="23"/>
        <v>17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20</v>
      </c>
      <c r="H12" s="367"/>
      <c r="I12" s="234"/>
      <c r="J12" s="215" t="s">
        <v>142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2</v>
      </c>
      <c r="AX12" s="208">
        <f t="shared" si="22"/>
        <v>32.200000000000003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33</v>
      </c>
      <c r="H13" s="367"/>
      <c r="I13" s="235"/>
      <c r="J13" s="217" t="s">
        <v>143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32</v>
      </c>
      <c r="AW14" s="168">
        <f>COUNTIF( AV$7:AV14, AV14 )</f>
        <v>3</v>
      </c>
      <c r="AX14" s="208">
        <f t="shared" si="22"/>
        <v>32.299999999999997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18.88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18.916666666666668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17.5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46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65"/>
      <c r="G18" s="366">
        <f t="shared" ca="1" si="1"/>
        <v>49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50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233</v>
      </c>
      <c r="B23" s="224" t="s">
        <v>140</v>
      </c>
      <c r="C23" s="224">
        <v>19</v>
      </c>
      <c r="D23" s="224" t="s">
        <v>234</v>
      </c>
      <c r="E23" s="225" t="str">
        <f t="shared" ca="1" si="8"/>
        <v>MR</v>
      </c>
      <c r="F23" s="365"/>
      <c r="G23" s="366">
        <f t="shared" ca="1" si="1"/>
        <v>11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39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5</v>
      </c>
      <c r="BF23" s="173" t="str">
        <f t="shared" ca="1" si="7"/>
        <v>AVANGRID,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AGR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65"/>
      <c r="G24" s="366">
        <f t="shared" ca="1" si="1"/>
        <v>16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4</v>
      </c>
      <c r="AX24" s="208">
        <f t="shared" si="22"/>
        <v>32.4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9">
      <c r="A25" s="223" t="s">
        <v>361</v>
      </c>
      <c r="B25" s="224" t="s">
        <v>140</v>
      </c>
      <c r="C25" s="224">
        <v>19</v>
      </c>
      <c r="D25" s="224" t="s">
        <v>194</v>
      </c>
      <c r="E25" s="225" t="str">
        <f t="shared" ca="1" si="8"/>
        <v>MR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32</v>
      </c>
      <c r="AW25" s="168">
        <f>COUNTIF( AV$7:AV25, AV25 )</f>
        <v>5</v>
      </c>
      <c r="AX25" s="208">
        <f t="shared" si="22"/>
        <v>32.5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141</v>
      </c>
      <c r="AS26" s="207">
        <v>18</v>
      </c>
      <c r="AT26" s="207" t="s">
        <v>268</v>
      </c>
      <c r="AV26" s="168">
        <f t="shared" si="21"/>
        <v>32</v>
      </c>
      <c r="AW26" s="168">
        <f>COUNTIF( AV$7:AV26, AV26 )</f>
        <v>6</v>
      </c>
      <c r="AX26" s="208">
        <f t="shared" si="22"/>
        <v>32.6</v>
      </c>
      <c r="AY26" s="168">
        <f t="shared" si="23"/>
        <v>37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21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32</v>
      </c>
      <c r="AW28" s="168">
        <f>COUNTIF( AV$7:AV28, AV28 )</f>
        <v>7</v>
      </c>
      <c r="AX28" s="208">
        <f t="shared" si="22"/>
        <v>32.700000000000003</v>
      </c>
      <c r="AY28" s="168">
        <f t="shared" si="23"/>
        <v>38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MR</v>
      </c>
      <c r="F29" s="365"/>
      <c r="G29" s="366">
        <f t="shared" ca="1" si="1"/>
        <v>31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R</v>
      </c>
      <c r="F30" s="365"/>
      <c r="G30" s="366">
        <f t="shared" ca="1" si="1"/>
        <v>34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9">
      <c r="A31" s="223" t="s">
        <v>303</v>
      </c>
      <c r="B31" s="224" t="s">
        <v>140</v>
      </c>
      <c r="C31" s="224">
        <v>19</v>
      </c>
      <c r="D31" s="224" t="s">
        <v>304</v>
      </c>
      <c r="E31" s="225" t="str">
        <f t="shared" ca="1" si="8"/>
        <v>R</v>
      </c>
      <c r="F31" s="365"/>
      <c r="G31" s="366">
        <f t="shared" ca="1" si="1"/>
        <v>40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3.9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65"/>
      <c r="G32" s="366">
        <f t="shared" ca="1" si="1"/>
        <v>43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8</v>
      </c>
      <c r="AX32" s="208">
        <f t="shared" si="22"/>
        <v>32.799999999999997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9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65"/>
      <c r="G33" s="366">
        <f t="shared" ca="1" si="1"/>
        <v>44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65"/>
      <c r="G34" s="366">
        <f t="shared" ca="1" si="1"/>
        <v>45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9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65"/>
      <c r="G35" s="366">
        <f t="shared" ca="1" si="1"/>
        <v>47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9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65"/>
      <c r="G36" s="366">
        <f t="shared" ca="1" si="1"/>
        <v>48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9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65"/>
      <c r="G37" s="366">
        <f t="shared" ca="1" si="1"/>
        <v>51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9</v>
      </c>
      <c r="AX37" s="208">
        <f t="shared" si="22"/>
        <v>32.9</v>
      </c>
      <c r="AY37" s="168">
        <f t="shared" si="23"/>
        <v>40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9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65"/>
      <c r="G38" s="366">
        <f t="shared" ca="1" si="1"/>
        <v>10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9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65"/>
      <c r="G39" s="366">
        <f t="shared" ca="1" si="1"/>
        <v>12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10</v>
      </c>
      <c r="AX39" s="208">
        <f t="shared" si="22"/>
        <v>33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9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65"/>
      <c r="G40" s="366">
        <f t="shared" ca="1" si="1"/>
        <v>13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301</v>
      </c>
      <c r="AR40" s="207" t="s">
        <v>141</v>
      </c>
      <c r="AS40" s="207">
        <v>18</v>
      </c>
      <c r="AT40" s="207" t="s">
        <v>302</v>
      </c>
      <c r="AV40" s="168">
        <f t="shared" si="21"/>
        <v>32</v>
      </c>
      <c r="AW40" s="168">
        <f>COUNTIF( AV$7:AV40, AV40 )</f>
        <v>11</v>
      </c>
      <c r="AX40" s="208">
        <f t="shared" si="22"/>
        <v>33.1</v>
      </c>
      <c r="AY40" s="168">
        <f t="shared" si="23"/>
        <v>42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9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65"/>
      <c r="G41" s="366">
        <f t="shared" ca="1" si="1"/>
        <v>22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9">
      <c r="A42" s="223" t="s">
        <v>367</v>
      </c>
      <c r="B42" s="224" t="s">
        <v>141</v>
      </c>
      <c r="C42" s="224">
        <v>18</v>
      </c>
      <c r="D42" s="224" t="s">
        <v>368</v>
      </c>
      <c r="E42" s="225" t="str">
        <f t="shared" ca="1" si="8"/>
        <v>R</v>
      </c>
      <c r="F42" s="365"/>
      <c r="G42" s="366">
        <f t="shared" ca="1" si="1"/>
        <v>23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9">
      <c r="A43" s="223" t="s">
        <v>267</v>
      </c>
      <c r="B43" s="224" t="s">
        <v>141</v>
      </c>
      <c r="C43" s="224">
        <v>18</v>
      </c>
      <c r="D43" s="224" t="s">
        <v>268</v>
      </c>
      <c r="E43" s="225" t="str">
        <f t="shared" ca="1" si="8"/>
        <v>R</v>
      </c>
      <c r="F43" s="365"/>
      <c r="G43" s="366">
        <f t="shared" ca="1" si="1"/>
        <v>24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32</v>
      </c>
      <c r="AW43" s="168">
        <f>COUNTIF( AV$7:AV43, AV43 )</f>
        <v>12</v>
      </c>
      <c r="AX43" s="208">
        <f t="shared" si="22"/>
        <v>33.200000000000003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20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9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D</v>
      </c>
      <c r="F44" s="365"/>
      <c r="G44" s="366">
        <f t="shared" ca="1" si="1"/>
        <v>26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22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9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65"/>
      <c r="G45" s="366">
        <f t="shared" ca="1" si="1"/>
        <v>30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35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31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37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301</v>
      </c>
      <c r="B48" s="224" t="s">
        <v>141</v>
      </c>
      <c r="C48" s="224">
        <v>18</v>
      </c>
      <c r="D48" s="224" t="s">
        <v>302</v>
      </c>
      <c r="E48" s="225" t="str">
        <f t="shared" ca="1" si="8"/>
        <v>R</v>
      </c>
      <c r="F48" s="365"/>
      <c r="G48" s="366">
        <f t="shared" ca="1" si="1"/>
        <v>38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34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9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65"/>
      <c r="G49" s="366">
        <f t="shared" ca="1" si="1"/>
        <v>41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9">
      <c r="A50" s="223" t="s">
        <v>254</v>
      </c>
      <c r="B50" s="224" t="s">
        <v>142</v>
      </c>
      <c r="C50" s="224">
        <v>17</v>
      </c>
      <c r="D50" s="224" t="s">
        <v>255</v>
      </c>
      <c r="E50" s="225" t="str">
        <f t="shared" ca="1" si="8"/>
        <v>R</v>
      </c>
      <c r="F50" s="365"/>
      <c r="G50" s="366">
        <f t="shared" ca="1" si="1"/>
        <v>15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23</v>
      </c>
      <c r="AK50" s="169" t="str">
        <f t="shared" ca="1" si="20"/>
        <v>BBB+</v>
      </c>
      <c r="AL50" s="169">
        <f t="shared" ca="1" si="20"/>
        <v>19</v>
      </c>
      <c r="AM50" s="169" t="str">
        <f t="shared" ca="1" si="4"/>
        <v>Change</v>
      </c>
      <c r="AQ50" s="207" t="s">
        <v>369</v>
      </c>
      <c r="AR50" s="207" t="s">
        <v>140</v>
      </c>
      <c r="AS50" s="207">
        <v>19</v>
      </c>
      <c r="AT50" s="207" t="s">
        <v>375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9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65"/>
      <c r="G51" s="366">
        <f t="shared" ca="1" si="1"/>
        <v>27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376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9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65"/>
      <c r="G52" s="366">
        <f t="shared" ca="1" si="1"/>
        <v>29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9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8"/>
        <v>R</v>
      </c>
      <c r="F53" s="365"/>
      <c r="G53" s="366">
        <f t="shared" ca="1" si="1"/>
        <v>59</v>
      </c>
      <c r="H53" s="367"/>
      <c r="I53" s="367"/>
      <c r="J53" s="191"/>
      <c r="K53" s="191"/>
      <c r="AF53" s="169">
        <f t="shared" si="2"/>
        <v>1</v>
      </c>
      <c r="AG53" s="169">
        <f t="shared" ca="1" si="3"/>
        <v>1</v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BB+</v>
      </c>
      <c r="AL53" s="169">
        <f t="shared" ca="1" si="20"/>
        <v>16</v>
      </c>
      <c r="AM53" s="169" t="str">
        <f t="shared" ca="1" si="4"/>
        <v>Change</v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9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65"/>
      <c r="G54" s="366">
        <f t="shared" ca="1" si="1"/>
        <v>61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9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65"/>
      <c r="G55" s="366">
        <f t="shared" ca="1" si="1"/>
        <v>57</v>
      </c>
      <c r="H55" s="367"/>
      <c r="I55" s="367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32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65"/>
      <c r="G62" s="366">
        <f t="shared" ca="1" si="1"/>
        <v>58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18.86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-- 2016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Reg_Percent_2015</v>
      </c>
      <c r="G2" s="172" t="s">
        <v>365</v>
      </c>
      <c r="AJ2" s="173" t="str">
        <f>AJ4 &amp; AJ3</f>
        <v>'Credit_2015Q4'!d:d</v>
      </c>
      <c r="AK2" s="173" t="str">
        <f>AK4 &amp; AK3</f>
        <v>'Credit_2015Q4'!b1</v>
      </c>
      <c r="AL2" s="173" t="str">
        <f>AL4 &amp; AL3</f>
        <v>'Credit_2015Q4'!c1</v>
      </c>
      <c r="AQ2" s="169"/>
    </row>
    <row r="3" spans="1:61" ht="18" hidden="1" outlineLevel="1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'Credit_2015Q4'!</v>
      </c>
      <c r="AK4" s="169" t="str">
        <f t="shared" ref="AK4:AL4" si="0">$AQ$5</f>
        <v>'Credit_2015Q4'!</v>
      </c>
      <c r="AL4" s="169" t="str">
        <f t="shared" si="0"/>
        <v>'Credit_2015Q4'!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(50)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(12)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377</v>
      </c>
    </row>
    <row r="6" spans="1:61" ht="28.5" customHeight="1">
      <c r="A6" s="219" t="s">
        <v>212</v>
      </c>
      <c r="B6" s="220" t="s">
        <v>64</v>
      </c>
      <c r="C6" s="249" t="s">
        <v>214</v>
      </c>
      <c r="D6" s="221"/>
      <c r="E6" s="222">
        <f ca="1">INDIRECT( E3 &amp; G1 )</f>
        <v>42369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60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23</v>
      </c>
      <c r="AK7" s="169" t="str">
        <f ca="1">IF( ISNA( $AJ7 ), "", OFFSET( INDIRECT( AK$2 ), $AJ7-1, 0 ) )</f>
        <v>BBB+</v>
      </c>
      <c r="AL7" s="169">
        <f ca="1">IF( ISNA( $AJ7 ), "", OFFSET( INDIRECT( AL$2 ), $AJ7-1, 0 ) )</f>
        <v>19</v>
      </c>
      <c r="AM7" s="169" t="str">
        <f t="shared" ref="AM7:AM67" ca="1" si="4">IF( B7 = AK7, "", "Change" )</f>
        <v>Change</v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9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25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65"/>
      <c r="G10" s="366">
        <f t="shared" ca="1" si="1"/>
        <v>14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11</v>
      </c>
      <c r="P10" s="216">
        <f t="shared" ca="1" si="12"/>
        <v>0.30555555555555558</v>
      </c>
      <c r="Q10" s="234"/>
      <c r="R10" s="215">
        <f t="shared" ca="1" si="13"/>
        <v>6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13</v>
      </c>
      <c r="M11" s="216">
        <f t="shared" si="10"/>
        <v>0.26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1</v>
      </c>
      <c r="S11" s="216">
        <f t="shared" ca="1" si="14"/>
        <v>8.3333333333333329E-2</v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141</v>
      </c>
      <c r="AS11" s="207">
        <v>18</v>
      </c>
      <c r="AT11" s="207" t="s">
        <v>234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20</v>
      </c>
      <c r="H12" s="367"/>
      <c r="I12" s="234"/>
      <c r="J12" s="215" t="s">
        <v>142</v>
      </c>
      <c r="K12" s="234"/>
      <c r="L12" s="215">
        <f t="shared" si="9"/>
        <v>3</v>
      </c>
      <c r="M12" s="216">
        <f t="shared" si="10"/>
        <v>0.06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3</v>
      </c>
      <c r="AX12" s="208">
        <f t="shared" si="22"/>
        <v>32.299999999999997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33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0.04</v>
      </c>
      <c r="N13" s="235"/>
      <c r="O13" s="217">
        <f t="shared" ca="1" si="11"/>
        <v>1</v>
      </c>
      <c r="P13" s="218">
        <f t="shared" ca="1" si="12"/>
        <v>2.7777777777777776E-2</v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32</v>
      </c>
      <c r="AW14" s="168">
        <f>COUNTIF( AV$7:AV14, AV14 )</f>
        <v>4</v>
      </c>
      <c r="AX14" s="208">
        <f t="shared" si="22"/>
        <v>32.4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18.88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18.944444444444443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18.916666666666668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17.5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140</v>
      </c>
      <c r="AS16" s="207">
        <v>19</v>
      </c>
      <c r="AT16" s="207" t="s">
        <v>378</v>
      </c>
      <c r="AV16" s="168">
        <f t="shared" si="21"/>
        <v>15</v>
      </c>
      <c r="AW16" s="168">
        <f>COUNTIF( AV$7:AV16, AV16 )</f>
        <v>3</v>
      </c>
      <c r="AX16" s="208">
        <f t="shared" si="22"/>
        <v>15.3</v>
      </c>
      <c r="AY16" s="168">
        <f t="shared" si="23"/>
        <v>17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46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65"/>
      <c r="G18" s="366">
        <f t="shared" ca="1" si="1"/>
        <v>49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50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65"/>
      <c r="G23" s="366">
        <f t="shared" ca="1" si="1"/>
        <v>15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10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65"/>
      <c r="G24" s="366">
        <f t="shared" ca="1" si="1"/>
        <v>16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9">
      <c r="A25" s="223" t="s">
        <v>361</v>
      </c>
      <c r="B25" s="224" t="s">
        <v>140</v>
      </c>
      <c r="C25" s="224">
        <v>19</v>
      </c>
      <c r="D25" s="224" t="s">
        <v>194</v>
      </c>
      <c r="E25" s="225" t="str">
        <f t="shared" ca="1" si="8"/>
        <v>MR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>
        <f t="shared" ca="1" si="18"/>
        <v>1</v>
      </c>
      <c r="AJ25" s="169">
        <f t="shared" ca="1" si="19"/>
        <v>11</v>
      </c>
      <c r="AK25" s="169" t="str">
        <f t="shared" ca="1" si="20"/>
        <v>A-</v>
      </c>
      <c r="AL25" s="169">
        <f t="shared" ca="1" si="20"/>
        <v>20</v>
      </c>
      <c r="AM25" s="169" t="str">
        <f t="shared" ca="1" si="4"/>
        <v>Change</v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141</v>
      </c>
      <c r="AS26" s="207">
        <v>18</v>
      </c>
      <c r="AT26" s="207" t="s">
        <v>268</v>
      </c>
      <c r="AV26" s="168">
        <f t="shared" si="21"/>
        <v>32</v>
      </c>
      <c r="AW26" s="168">
        <f>COUNTIF( AV$7:AV26, AV26 )</f>
        <v>7</v>
      </c>
      <c r="AX26" s="208">
        <f t="shared" si="22"/>
        <v>32.700000000000003</v>
      </c>
      <c r="AY26" s="168">
        <f t="shared" si="23"/>
        <v>38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21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28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32</v>
      </c>
      <c r="AW28" s="168">
        <f>COUNTIF( AV$7:AV28, AV28 )</f>
        <v>8</v>
      </c>
      <c r="AX28" s="208">
        <f t="shared" si="22"/>
        <v>32.799999999999997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MR</v>
      </c>
      <c r="F29" s="365"/>
      <c r="G29" s="366">
        <f t="shared" ca="1" si="1"/>
        <v>31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45</v>
      </c>
      <c r="AW29" s="168">
        <f>COUNTIF( AV$7:AV29, AV29 )</f>
        <v>1</v>
      </c>
      <c r="AX29" s="208">
        <f t="shared" si="22"/>
        <v>45.1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R</v>
      </c>
      <c r="F30" s="365"/>
      <c r="G30" s="366">
        <f t="shared" ca="1" si="1"/>
        <v>34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9">
      <c r="A31" s="223" t="s">
        <v>303</v>
      </c>
      <c r="B31" s="224" t="s">
        <v>140</v>
      </c>
      <c r="C31" s="224">
        <v>19</v>
      </c>
      <c r="D31" s="224" t="s">
        <v>304</v>
      </c>
      <c r="E31" s="225" t="str">
        <f t="shared" ca="1" si="8"/>
        <v>R</v>
      </c>
      <c r="F31" s="365"/>
      <c r="G31" s="366">
        <f t="shared" ca="1" si="1"/>
        <v>40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45</v>
      </c>
      <c r="AW31" s="168">
        <f>COUNTIF( AV$7:AV31, AV31 )</f>
        <v>2</v>
      </c>
      <c r="AX31" s="208">
        <f t="shared" si="22"/>
        <v>45.2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3.9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65"/>
      <c r="G32" s="366">
        <f t="shared" ca="1" si="1"/>
        <v>43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9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65"/>
      <c r="G33" s="366">
        <f t="shared" ca="1" si="1"/>
        <v>44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48</v>
      </c>
      <c r="AW33" s="168">
        <f>COUNTIF( AV$7:AV33, AV33 )</f>
        <v>1</v>
      </c>
      <c r="AX33" s="208">
        <f t="shared" si="22"/>
        <v>48.1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65"/>
      <c r="G34" s="366">
        <f t="shared" ca="1" si="1"/>
        <v>45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9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65"/>
      <c r="G35" s="366">
        <f t="shared" ca="1" si="1"/>
        <v>47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9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65"/>
      <c r="G36" s="366">
        <f t="shared" ca="1" si="1"/>
        <v>48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9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65"/>
      <c r="G37" s="366">
        <f t="shared" ca="1" si="1"/>
        <v>51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9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65"/>
      <c r="G38" s="366">
        <f t="shared" ca="1" si="1"/>
        <v>10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9">
      <c r="A39" s="223" t="s">
        <v>233</v>
      </c>
      <c r="B39" s="224" t="s">
        <v>141</v>
      </c>
      <c r="C39" s="224">
        <v>18</v>
      </c>
      <c r="D39" s="224" t="s">
        <v>234</v>
      </c>
      <c r="E39" s="225" t="str">
        <f t="shared" ca="1" si="8"/>
        <v>MR</v>
      </c>
      <c r="F39" s="365"/>
      <c r="G39" s="366">
        <f t="shared" ca="1" si="1"/>
        <v>11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AVANGRID,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AGR</v>
      </c>
    </row>
    <row r="40" spans="1:61" ht="13.9">
      <c r="A40" s="223" t="s">
        <v>238</v>
      </c>
      <c r="B40" s="224" t="s">
        <v>141</v>
      </c>
      <c r="C40" s="224">
        <v>18</v>
      </c>
      <c r="D40" s="224" t="s">
        <v>239</v>
      </c>
      <c r="E40" s="225" t="str">
        <f t="shared" ca="1" si="8"/>
        <v>R</v>
      </c>
      <c r="F40" s="365"/>
      <c r="G40" s="366">
        <f t="shared" ca="1" si="1"/>
        <v>12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301</v>
      </c>
      <c r="AR40" s="207" t="s">
        <v>141</v>
      </c>
      <c r="AS40" s="207">
        <v>18</v>
      </c>
      <c r="AT40" s="207" t="s">
        <v>302</v>
      </c>
      <c r="AV40" s="168">
        <f t="shared" si="21"/>
        <v>32</v>
      </c>
      <c r="AW40" s="168">
        <f>COUNTIF( AV$7:AV40, AV40 )</f>
        <v>12</v>
      </c>
      <c r="AX40" s="208">
        <f t="shared" si="22"/>
        <v>33.200000000000003</v>
      </c>
      <c r="AY40" s="168">
        <f t="shared" si="23"/>
        <v>43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9">
      <c r="A41" s="223" t="s">
        <v>245</v>
      </c>
      <c r="B41" s="224" t="s">
        <v>141</v>
      </c>
      <c r="C41" s="224">
        <v>18</v>
      </c>
      <c r="D41" s="224" t="s">
        <v>246</v>
      </c>
      <c r="E41" s="225" t="str">
        <f t="shared" ca="1" si="8"/>
        <v>R</v>
      </c>
      <c r="F41" s="365"/>
      <c r="G41" s="366">
        <f t="shared" ca="1" si="1"/>
        <v>13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3.9">
      <c r="A42" s="223" t="s">
        <v>328</v>
      </c>
      <c r="B42" s="224" t="s">
        <v>141</v>
      </c>
      <c r="C42" s="224">
        <v>18</v>
      </c>
      <c r="D42" s="224" t="s">
        <v>331</v>
      </c>
      <c r="E42" s="225" t="str">
        <f t="shared" ca="1" si="8"/>
        <v>R</v>
      </c>
      <c r="F42" s="365"/>
      <c r="G42" s="366">
        <f t="shared" ca="1" si="1"/>
        <v>22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3.9">
      <c r="A43" s="223" t="s">
        <v>367</v>
      </c>
      <c r="B43" s="224" t="s">
        <v>141</v>
      </c>
      <c r="C43" s="224">
        <v>18</v>
      </c>
      <c r="D43" s="224" t="s">
        <v>368</v>
      </c>
      <c r="E43" s="225" t="str">
        <f t="shared" ca="1" si="8"/>
        <v>R</v>
      </c>
      <c r="F43" s="365"/>
      <c r="G43" s="366">
        <f t="shared" ca="1" si="1"/>
        <v>23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Empire District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EDE</v>
      </c>
    </row>
    <row r="44" spans="1:61" ht="13.9">
      <c r="A44" s="223" t="s">
        <v>267</v>
      </c>
      <c r="B44" s="224" t="s">
        <v>141</v>
      </c>
      <c r="C44" s="224">
        <v>18</v>
      </c>
      <c r="D44" s="224" t="s">
        <v>268</v>
      </c>
      <c r="E44" s="225" t="str">
        <f t="shared" ca="1" si="8"/>
        <v>R</v>
      </c>
      <c r="F44" s="365"/>
      <c r="G44" s="366">
        <f t="shared" ca="1" si="1"/>
        <v>24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20</v>
      </c>
      <c r="BF44" s="173" t="str">
        <f t="shared" ca="1" si="25"/>
        <v>Entergy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ETR</v>
      </c>
    </row>
    <row r="45" spans="1:61" ht="13.9">
      <c r="A45" s="223" t="s">
        <v>269</v>
      </c>
      <c r="B45" s="224" t="s">
        <v>141</v>
      </c>
      <c r="C45" s="224">
        <v>18</v>
      </c>
      <c r="D45" s="224" t="s">
        <v>270</v>
      </c>
      <c r="E45" s="225" t="str">
        <f t="shared" ca="1" si="8"/>
        <v>D</v>
      </c>
      <c r="F45" s="365"/>
      <c r="G45" s="366">
        <f t="shared" ca="1" si="1"/>
        <v>26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9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65"/>
      <c r="G46" s="366">
        <f t="shared" ca="1" si="1"/>
        <v>30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45</v>
      </c>
      <c r="AW46" s="168">
        <f>COUNTIF( AV$7:AV46, AV46 )</f>
        <v>3</v>
      </c>
      <c r="AX46" s="208">
        <f t="shared" si="22"/>
        <v>45.3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9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65"/>
      <c r="G47" s="366">
        <f t="shared" ca="1" si="1"/>
        <v>35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9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65"/>
      <c r="G48" s="366">
        <f t="shared" ca="1" si="1"/>
        <v>37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9">
      <c r="A49" s="223" t="s">
        <v>301</v>
      </c>
      <c r="B49" s="224" t="s">
        <v>141</v>
      </c>
      <c r="C49" s="224">
        <v>18</v>
      </c>
      <c r="D49" s="224" t="s">
        <v>302</v>
      </c>
      <c r="E49" s="225" t="str">
        <f t="shared" ca="1" si="8"/>
        <v>R</v>
      </c>
      <c r="F49" s="365"/>
      <c r="G49" s="366">
        <f t="shared" ca="1" si="1"/>
        <v>38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34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9">
      <c r="A50" s="223" t="s">
        <v>285</v>
      </c>
      <c r="B50" s="224" t="s">
        <v>141</v>
      </c>
      <c r="C50" s="224">
        <v>18</v>
      </c>
      <c r="D50" s="224" t="s">
        <v>286</v>
      </c>
      <c r="E50" s="225" t="str">
        <f t="shared" ca="1" si="8"/>
        <v>R</v>
      </c>
      <c r="F50" s="365"/>
      <c r="G50" s="366">
        <f t="shared" ca="1" si="1"/>
        <v>41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369</v>
      </c>
      <c r="AR50" s="207" t="s">
        <v>140</v>
      </c>
      <c r="AS50" s="207">
        <v>19</v>
      </c>
      <c r="AT50" s="207" t="s">
        <v>375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9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65"/>
      <c r="G51" s="366">
        <f t="shared" ca="1" si="1"/>
        <v>27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376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9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65"/>
      <c r="G52" s="366">
        <f t="shared" ca="1" si="1"/>
        <v>29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9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65"/>
      <c r="G53" s="366">
        <f t="shared" ca="1" si="1"/>
        <v>61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9">
      <c r="A54" s="223" t="s">
        <v>287</v>
      </c>
      <c r="B54" s="224" t="s">
        <v>173</v>
      </c>
      <c r="C54" s="224">
        <v>16</v>
      </c>
      <c r="D54" s="224" t="s">
        <v>288</v>
      </c>
      <c r="E54" s="225" t="str">
        <f t="shared" ca="1" si="8"/>
        <v>R</v>
      </c>
      <c r="F54" s="365"/>
      <c r="G54" s="366">
        <f t="shared" ca="1" si="1"/>
        <v>59</v>
      </c>
      <c r="H54" s="367"/>
      <c r="I54" s="367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27</v>
      </c>
      <c r="BF54" s="173" t="str">
        <f t="shared" ca="1" si="25"/>
        <v>IPALCO Enterprises, Inc.</v>
      </c>
      <c r="BG54" s="173" t="str">
        <f t="shared" ca="1" si="25"/>
        <v>BB+</v>
      </c>
      <c r="BH54" s="173">
        <f t="shared" ca="1" si="25"/>
        <v>16</v>
      </c>
      <c r="BI54" s="173" t="str">
        <f t="shared" ca="1" si="25"/>
        <v>**IPALCO</v>
      </c>
    </row>
    <row r="55" spans="1:61" ht="13.9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65"/>
      <c r="G55" s="366">
        <f t="shared" ca="1" si="1"/>
        <v>57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32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65"/>
      <c r="G62" s="366">
        <f t="shared" ca="1" si="1"/>
        <v>58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18.86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92D050"/>
    <pageSetUpPr fitToPage="1"/>
  </sheetPr>
  <dimension ref="C1:W43"/>
  <sheetViews>
    <sheetView showGridLines="0" zoomScale="90" zoomScaleNormal="90" workbookViewId="0"/>
  </sheetViews>
  <sheetFormatPr defaultColWidth="9.140625" defaultRowHeight="11.45"/>
  <cols>
    <col min="1" max="2" width="1.42578125" style="33" customWidth="1"/>
    <col min="3" max="3" width="25.140625" style="33" customWidth="1"/>
    <col min="4" max="16384" width="9.140625" style="33"/>
  </cols>
  <sheetData>
    <row r="1" spans="3:23" ht="17.45">
      <c r="C1" s="12" t="s">
        <v>112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4" spans="3:23" ht="12">
      <c r="C4" s="3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3:23" ht="12">
      <c r="C5" s="348" t="s">
        <v>113</v>
      </c>
      <c r="D5" s="348"/>
      <c r="E5" s="348"/>
      <c r="F5" s="348"/>
      <c r="G5" s="346"/>
      <c r="H5" s="346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7" spans="3:23" ht="12">
      <c r="C7" s="347" t="s">
        <v>106</v>
      </c>
      <c r="D7" s="347"/>
      <c r="E7" s="347"/>
      <c r="F7" s="347"/>
      <c r="G7" s="32"/>
      <c r="H7" s="3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3:23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3:23" ht="12">
      <c r="C9" s="30"/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</row>
    <row r="10" spans="3:23" ht="12">
      <c r="C10" s="31"/>
      <c r="D10" s="34"/>
      <c r="E10" s="34"/>
      <c r="F10" s="34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3:23">
      <c r="C11" s="302" t="s">
        <v>114</v>
      </c>
      <c r="D11" s="301">
        <v>21</v>
      </c>
      <c r="E11" s="301">
        <v>35</v>
      </c>
      <c r="F11" s="301">
        <v>51</v>
      </c>
      <c r="G11" s="302">
        <v>73</v>
      </c>
      <c r="H11" s="302">
        <v>67</v>
      </c>
      <c r="I11" s="302">
        <v>73</v>
      </c>
      <c r="J11" s="302">
        <v>24</v>
      </c>
      <c r="K11" s="302">
        <v>23</v>
      </c>
      <c r="L11" s="302">
        <f ca="1">'II. Upgrades &amp; Downgrades'!AO61</f>
        <v>29</v>
      </c>
      <c r="M11" s="302">
        <f ca="1">'II. Upgrades &amp; Downgrades'!AS61</f>
        <v>39</v>
      </c>
      <c r="N11" s="302">
        <f ca="1">'II. Upgrades &amp; Downgrades'!AW61</f>
        <v>37</v>
      </c>
      <c r="O11" s="302">
        <f ca="1">'II. Upgrades &amp; Downgrades'!BA61</f>
        <v>60</v>
      </c>
      <c r="P11" s="302">
        <f ca="1">'II. Upgrades &amp; Downgrades'!BE61</f>
        <v>103</v>
      </c>
      <c r="Q11" s="302">
        <f ca="1">'II. Upgrades &amp; Downgrades'!BI61</f>
        <v>35</v>
      </c>
      <c r="R11" s="302">
        <f ca="1">'II. Upgrades &amp; Downgrades'!BM61</f>
        <v>49</v>
      </c>
      <c r="S11" s="302">
        <f ca="1">'II. Upgrades &amp; Downgrades'!BQ61</f>
        <v>38</v>
      </c>
      <c r="T11" s="302">
        <f ca="1">'II. Upgrades &amp; Downgrades'!BU61</f>
        <v>41</v>
      </c>
      <c r="U11" s="302">
        <f ca="1">'II. Upgrades &amp; Downgrades'!BY61</f>
        <v>55</v>
      </c>
      <c r="V11" s="302">
        <f ca="1">'II. Upgrades &amp; Downgrades'!CC61</f>
        <v>12</v>
      </c>
      <c r="W11" s="302">
        <f ca="1">'II. Upgrades &amp; Downgrades'!CG61</f>
        <v>20</v>
      </c>
    </row>
    <row r="12" spans="3:23">
      <c r="C12" s="304" t="s">
        <v>115</v>
      </c>
      <c r="D12" s="303">
        <v>279</v>
      </c>
      <c r="E12" s="303">
        <v>218</v>
      </c>
      <c r="F12" s="303">
        <v>59</v>
      </c>
      <c r="G12" s="304">
        <v>48</v>
      </c>
      <c r="H12" s="304">
        <v>43</v>
      </c>
      <c r="I12" s="304">
        <v>48</v>
      </c>
      <c r="J12" s="304">
        <v>26</v>
      </c>
      <c r="K12" s="304">
        <v>34</v>
      </c>
      <c r="L12" s="304">
        <f ca="1" xml:space="preserve"> - 'II. Upgrades &amp; Downgrades'!AO62</f>
        <v>51</v>
      </c>
      <c r="M12" s="304">
        <f ca="1" xml:space="preserve"> - 'II. Upgrades &amp; Downgrades'!AS62</f>
        <v>21</v>
      </c>
      <c r="N12" s="304">
        <f ca="1" xml:space="preserve"> - 'II. Upgrades &amp; Downgrades'!AW62</f>
        <v>39</v>
      </c>
      <c r="O12" s="304">
        <f ca="1" xml:space="preserve"> - 'II. Upgrades &amp; Downgrades'!BA62</f>
        <v>20</v>
      </c>
      <c r="P12" s="304">
        <f ca="1" xml:space="preserve"> - 'II. Upgrades &amp; Downgrades'!BE62</f>
        <v>3</v>
      </c>
      <c r="Q12" s="304">
        <f ca="1" xml:space="preserve"> - 'II. Upgrades &amp; Downgrades'!BI62</f>
        <v>15</v>
      </c>
      <c r="R12" s="304">
        <f ca="1" xml:space="preserve"> - 'II. Upgrades &amp; Downgrades'!BM62</f>
        <v>18</v>
      </c>
      <c r="S12" s="304">
        <f ca="1" xml:space="preserve"> - 'II. Upgrades &amp; Downgrades'!BQ62</f>
        <v>14</v>
      </c>
      <c r="T12" s="304">
        <f ca="1" xml:space="preserve"> - 'II. Upgrades &amp; Downgrades'!BU62</f>
        <v>52</v>
      </c>
      <c r="U12" s="304">
        <f ca="1" xml:space="preserve"> - 'II. Upgrades &amp; Downgrades'!BY62</f>
        <v>35</v>
      </c>
      <c r="V12" s="304">
        <f ca="1" xml:space="preserve"> - 'II. Upgrades &amp; Downgrades'!CC62</f>
        <v>47</v>
      </c>
      <c r="W12" s="304">
        <f ca="1" xml:space="preserve"> - 'II. Upgrades &amp; Downgrades'!CG62</f>
        <v>32</v>
      </c>
    </row>
    <row r="13" spans="3:23">
      <c r="C13" s="31" t="s">
        <v>116</v>
      </c>
      <c r="D13" s="35">
        <f t="shared" ref="D13:M13" ca="1" si="0">D11 / D14</f>
        <v>7.0000000000000007E-2</v>
      </c>
      <c r="E13" s="35">
        <f t="shared" ca="1" si="0"/>
        <v>0.13833992094861661</v>
      </c>
      <c r="F13" s="35">
        <f t="shared" ca="1" si="0"/>
        <v>0.46363636363636362</v>
      </c>
      <c r="G13" s="35">
        <f t="shared" ca="1" si="0"/>
        <v>0.60330578512396693</v>
      </c>
      <c r="H13" s="35">
        <f t="shared" ca="1" si="0"/>
        <v>0.60909090909090913</v>
      </c>
      <c r="I13" s="35">
        <f t="shared" ca="1" si="0"/>
        <v>0.60330578512396693</v>
      </c>
      <c r="J13" s="35">
        <f t="shared" ca="1" si="0"/>
        <v>0.48</v>
      </c>
      <c r="K13" s="35">
        <f t="shared" ca="1" si="0"/>
        <v>0.40350877192982454</v>
      </c>
      <c r="L13" s="35">
        <f t="shared" ca="1" si="0"/>
        <v>0.36249999999999999</v>
      </c>
      <c r="M13" s="35">
        <f t="shared" ca="1" si="0"/>
        <v>0.65</v>
      </c>
      <c r="N13" s="35">
        <f t="shared" ref="N13:U13" ca="1" si="1">N11 / N14</f>
        <v>0.48684210526315791</v>
      </c>
      <c r="O13" s="35">
        <f t="shared" ca="1" si="1"/>
        <v>0.75</v>
      </c>
      <c r="P13" s="35">
        <f t="shared" ca="1" si="1"/>
        <v>0.97169811320754718</v>
      </c>
      <c r="Q13" s="35">
        <f t="shared" ca="1" si="1"/>
        <v>0.7</v>
      </c>
      <c r="R13" s="35">
        <f t="shared" ca="1" si="1"/>
        <v>0.73134328358208955</v>
      </c>
      <c r="S13" s="35">
        <f t="shared" ref="S13" ca="1" si="2">S11 / S14</f>
        <v>0.73076923076923073</v>
      </c>
      <c r="T13" s="35">
        <f t="shared" ref="T13" ca="1" si="3">T11 / T14</f>
        <v>0.44086021505376344</v>
      </c>
      <c r="U13" s="35">
        <f t="shared" ca="1" si="1"/>
        <v>0.61111111111111116</v>
      </c>
      <c r="V13" s="35">
        <f t="shared" ref="V13:W13" ca="1" si="4">V11 / V14</f>
        <v>0.20338983050847459</v>
      </c>
      <c r="W13" s="35">
        <f t="shared" ca="1" si="4"/>
        <v>0.38461538461538464</v>
      </c>
    </row>
    <row r="14" spans="3:23" ht="12">
      <c r="C14" s="300" t="s">
        <v>107</v>
      </c>
      <c r="D14" s="300">
        <f t="shared" ref="D14:J14" ca="1" si="5">SUM(D11:D12)</f>
        <v>300</v>
      </c>
      <c r="E14" s="300">
        <f t="shared" ca="1" si="5"/>
        <v>253</v>
      </c>
      <c r="F14" s="300">
        <f t="shared" ca="1" si="5"/>
        <v>110</v>
      </c>
      <c r="G14" s="300">
        <f t="shared" ca="1" si="5"/>
        <v>121</v>
      </c>
      <c r="H14" s="300">
        <f t="shared" ca="1" si="5"/>
        <v>110</v>
      </c>
      <c r="I14" s="300">
        <f t="shared" ca="1" si="5"/>
        <v>121</v>
      </c>
      <c r="J14" s="300">
        <f t="shared" ca="1" si="5"/>
        <v>50</v>
      </c>
      <c r="K14" s="300">
        <f t="shared" ref="K14:U14" ca="1" si="6">SUM(K11:K12)</f>
        <v>57</v>
      </c>
      <c r="L14" s="300">
        <f t="shared" ca="1" si="6"/>
        <v>80</v>
      </c>
      <c r="M14" s="300">
        <f t="shared" ca="1" si="6"/>
        <v>60</v>
      </c>
      <c r="N14" s="300">
        <f t="shared" ca="1" si="6"/>
        <v>76</v>
      </c>
      <c r="O14" s="300">
        <f t="shared" ca="1" si="6"/>
        <v>80</v>
      </c>
      <c r="P14" s="300">
        <f t="shared" ref="P14:R14" ca="1" si="7">SUM(P11:P12)</f>
        <v>106</v>
      </c>
      <c r="Q14" s="300">
        <f t="shared" ca="1" si="7"/>
        <v>50</v>
      </c>
      <c r="R14" s="300">
        <f t="shared" ca="1" si="7"/>
        <v>67</v>
      </c>
      <c r="S14" s="300">
        <f t="shared" ref="S14" ca="1" si="8">SUM(S11:S12)</f>
        <v>52</v>
      </c>
      <c r="T14" s="300">
        <f t="shared" ref="T14" ca="1" si="9">SUM(T11:T12)</f>
        <v>93</v>
      </c>
      <c r="U14" s="300">
        <f t="shared" ca="1" si="6"/>
        <v>90</v>
      </c>
      <c r="V14" s="300">
        <f t="shared" ref="V14:W14" ca="1" si="10">SUM(V11:V12)</f>
        <v>59</v>
      </c>
      <c r="W14" s="300">
        <f t="shared" ca="1" si="10"/>
        <v>52</v>
      </c>
    </row>
    <row r="15" spans="3:23" ht="12">
      <c r="C15" s="2"/>
      <c r="D15" s="30"/>
      <c r="E15" s="30"/>
      <c r="F15" s="30"/>
      <c r="G15" s="30"/>
      <c r="H15" s="30"/>
      <c r="I15" s="30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3:23">
      <c r="C16" s="2" t="s">
        <v>117</v>
      </c>
      <c r="D16" s="148">
        <v>0.5</v>
      </c>
      <c r="E16" s="147">
        <f ca="1">D16</f>
        <v>0.5</v>
      </c>
      <c r="F16" s="147">
        <f t="shared" ref="F16:M16" ca="1" si="11">E16</f>
        <v>0.5</v>
      </c>
      <c r="G16" s="147">
        <f t="shared" ca="1" si="11"/>
        <v>0.5</v>
      </c>
      <c r="H16" s="147">
        <f t="shared" ca="1" si="11"/>
        <v>0.5</v>
      </c>
      <c r="I16" s="147">
        <f t="shared" ca="1" si="11"/>
        <v>0.5</v>
      </c>
      <c r="J16" s="147">
        <f t="shared" ca="1" si="11"/>
        <v>0.5</v>
      </c>
      <c r="K16" s="147">
        <f t="shared" ca="1" si="11"/>
        <v>0.5</v>
      </c>
      <c r="L16" s="147">
        <f t="shared" ca="1" si="11"/>
        <v>0.5</v>
      </c>
      <c r="M16" s="147">
        <f t="shared" ca="1" si="11"/>
        <v>0.5</v>
      </c>
      <c r="N16" s="147">
        <f ca="1">L16</f>
        <v>0.5</v>
      </c>
      <c r="O16" s="147">
        <f ca="1">M16</f>
        <v>0.5</v>
      </c>
      <c r="P16" s="147">
        <f ca="1">L16</f>
        <v>0.5</v>
      </c>
      <c r="Q16" s="147">
        <f ca="1">L16</f>
        <v>0.5</v>
      </c>
      <c r="R16" s="147">
        <f ca="1">L16</f>
        <v>0.5</v>
      </c>
      <c r="S16" s="147">
        <f ca="1">M16</f>
        <v>0.5</v>
      </c>
      <c r="T16" s="147">
        <f ca="1">L16</f>
        <v>0.5</v>
      </c>
      <c r="U16" s="147">
        <f ca="1">M16</f>
        <v>0.5</v>
      </c>
      <c r="V16" s="147">
        <f ca="1">N16</f>
        <v>0.5</v>
      </c>
      <c r="W16" s="147">
        <f ca="1">O16</f>
        <v>0.5</v>
      </c>
    </row>
    <row r="17" spans="3:9" ht="12">
      <c r="C17" s="30"/>
      <c r="D17" s="30"/>
      <c r="E17" s="30"/>
      <c r="F17" s="30"/>
      <c r="G17" s="30"/>
      <c r="H17" s="30"/>
      <c r="I17" s="30"/>
    </row>
    <row r="18" spans="3:9" ht="12">
      <c r="C18" s="30"/>
      <c r="D18" s="30"/>
      <c r="E18" s="30"/>
      <c r="F18" s="30"/>
      <c r="G18" s="30"/>
      <c r="H18" s="30"/>
      <c r="I18" s="30"/>
    </row>
    <row r="42" spans="4:4" ht="12">
      <c r="D42" s="30" t="s">
        <v>118</v>
      </c>
    </row>
    <row r="43" spans="4:4">
      <c r="D43" s="31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-- 2015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Reg_Percent_2014</v>
      </c>
      <c r="G2" s="172" t="s">
        <v>379</v>
      </c>
      <c r="AJ2" s="173" t="str">
        <f>AJ4 &amp; AJ3</f>
        <v>'Credit_2015Q3'!d:d</v>
      </c>
      <c r="AK2" s="173" t="str">
        <f>AK4 &amp; AK3</f>
        <v>'Credit_2015Q3'!b1</v>
      </c>
      <c r="AL2" s="173" t="str">
        <f>AL4 &amp; AL3</f>
        <v>'Credit_2015Q3'!c1</v>
      </c>
      <c r="AQ2" s="169"/>
    </row>
    <row r="3" spans="1:61" ht="18" hidden="1" outlineLevel="1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'Credit_2015Q3'!</v>
      </c>
      <c r="AK4" s="169" t="str">
        <f t="shared" ref="AK4:AL4" si="0">$AQ$5</f>
        <v>'Credit_2015Q3'!</v>
      </c>
      <c r="AL4" s="169" t="str">
        <f t="shared" si="0"/>
        <v>'Credit_2015Q3'!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(51)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380</v>
      </c>
    </row>
    <row r="6" spans="1:61" ht="28.5" customHeight="1">
      <c r="A6" s="219" t="s">
        <v>212</v>
      </c>
      <c r="B6" s="220" t="s">
        <v>63</v>
      </c>
      <c r="C6" s="249" t="s">
        <v>214</v>
      </c>
      <c r="D6" s="221"/>
      <c r="E6" s="222">
        <f ca="1">INDIRECT( E3 &amp; G1 )</f>
        <v>42004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166</v>
      </c>
      <c r="C7" s="224">
        <v>21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34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3.9215686274509803E-2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0.25490196078431371</v>
      </c>
      <c r="N9" s="234"/>
      <c r="O9" s="215">
        <f t="shared" ca="1" si="11"/>
        <v>8</v>
      </c>
      <c r="P9" s="216">
        <f t="shared" ca="1" si="12"/>
        <v>0.22222222222222221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9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18</v>
      </c>
      <c r="M10" s="216">
        <f t="shared" si="10"/>
        <v>0.35294117647058826</v>
      </c>
      <c r="N10" s="234"/>
      <c r="O10" s="215">
        <f t="shared" ca="1" si="11"/>
        <v>12</v>
      </c>
      <c r="P10" s="216">
        <f t="shared" ca="1" si="12"/>
        <v>0.33333333333333331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33</v>
      </c>
      <c r="AW10" s="168">
        <f>COUNTIF( AV$7:AV10, AV10 )</f>
        <v>1</v>
      </c>
      <c r="AX10" s="208">
        <f t="shared" si="22"/>
        <v>33.1</v>
      </c>
      <c r="AY10" s="168">
        <f t="shared" si="23"/>
        <v>33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13</v>
      </c>
      <c r="M11" s="216">
        <f t="shared" si="10"/>
        <v>0.25490196078431371</v>
      </c>
      <c r="N11" s="234"/>
      <c r="O11" s="215">
        <f t="shared" ca="1" si="11"/>
        <v>12</v>
      </c>
      <c r="P11" s="216">
        <f t="shared" ca="1" si="12"/>
        <v>0.33333333333333331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381</v>
      </c>
      <c r="AR11" s="207" t="s">
        <v>141</v>
      </c>
      <c r="AS11" s="207">
        <v>18</v>
      </c>
      <c r="AT11" s="207" t="s">
        <v>234</v>
      </c>
      <c r="AV11" s="168">
        <f t="shared" si="21"/>
        <v>33</v>
      </c>
      <c r="AW11" s="168">
        <f>COUNTIF( AV$7:AV11, AV11 )</f>
        <v>2</v>
      </c>
      <c r="AX11" s="208">
        <f t="shared" si="22"/>
        <v>33.200000000000003</v>
      </c>
      <c r="AY11" s="168">
        <f t="shared" si="23"/>
        <v>34</v>
      </c>
      <c r="AZ11" s="169"/>
      <c r="BA11" s="169"/>
      <c r="BC11" s="168">
        <f t="shared" ca="1" si="24"/>
        <v>5</v>
      </c>
      <c r="BD11" s="209">
        <f t="shared" ca="1" si="6"/>
        <v>13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19</v>
      </c>
      <c r="H12" s="367"/>
      <c r="I12" s="234"/>
      <c r="J12" s="215" t="s">
        <v>142</v>
      </c>
      <c r="K12" s="234"/>
      <c r="L12" s="215">
        <f t="shared" si="9"/>
        <v>3</v>
      </c>
      <c r="M12" s="216">
        <f t="shared" si="10"/>
        <v>5.8823529411764705E-2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33</v>
      </c>
      <c r="AW12" s="168">
        <f>COUNTIF( AV$7:AV12, AV12 )</f>
        <v>3</v>
      </c>
      <c r="AX12" s="208">
        <f t="shared" si="22"/>
        <v>33.299999999999997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3.9215686274509803E-2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140</v>
      </c>
      <c r="AS13" s="207">
        <v>19</v>
      </c>
      <c r="AT13" s="207" t="s">
        <v>216</v>
      </c>
      <c r="AV13" s="168">
        <f t="shared" si="21"/>
        <v>15</v>
      </c>
      <c r="AW13" s="168">
        <f>COUNTIF( AV$7:AV13, AV13 )</f>
        <v>3</v>
      </c>
      <c r="AX13" s="208">
        <f t="shared" si="22"/>
        <v>15.3</v>
      </c>
      <c r="AY13" s="168">
        <f t="shared" si="23"/>
        <v>17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>SUM(L8:L13)</f>
        <v>51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18.843137254901961</v>
      </c>
      <c r="Z14" s="190"/>
      <c r="AA14" s="189">
        <f ca="1">SUM(AA8:AA13)</f>
        <v>51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33</v>
      </c>
      <c r="AW14" s="168">
        <f>COUNTIF( AV$7:AV14, AV14 )</f>
        <v>4</v>
      </c>
      <c r="AX14" s="208">
        <f t="shared" si="22"/>
        <v>33.4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40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2</v>
      </c>
      <c r="AW15" s="168">
        <f>COUNTIF( AV$7:AV15, AV15 )</f>
        <v>2</v>
      </c>
      <c r="AX15" s="208">
        <f t="shared" si="22"/>
        <v>2.2000000000000002</v>
      </c>
      <c r="AY15" s="168">
        <f t="shared" si="23"/>
        <v>3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MR</v>
      </c>
      <c r="F16" s="365"/>
      <c r="G16" s="366">
        <f t="shared" ca="1" si="1"/>
        <v>43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18.862745098039216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18.694444444444443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19.46153846153846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140</v>
      </c>
      <c r="AS16" s="207">
        <v>19</v>
      </c>
      <c r="AT16" s="207" t="s">
        <v>378</v>
      </c>
      <c r="AV16" s="168">
        <f t="shared" si="21"/>
        <v>15</v>
      </c>
      <c r="AW16" s="168">
        <f>COUNTIF( AV$7:AV16, AV16 )</f>
        <v>4</v>
      </c>
      <c r="AX16" s="208">
        <f t="shared" si="22"/>
        <v>15.4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47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MR</v>
      </c>
      <c r="F18" s="365"/>
      <c r="G18" s="366">
        <f t="shared" ca="1" si="1"/>
        <v>51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47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53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139</v>
      </c>
      <c r="AS19" s="207">
        <v>20</v>
      </c>
      <c r="AT19" s="207" t="s">
        <v>194</v>
      </c>
      <c r="AV19" s="168">
        <f t="shared" si="21"/>
        <v>2</v>
      </c>
      <c r="AW19" s="168">
        <f>COUNTIF( AV$7:AV19, AV19 )</f>
        <v>4</v>
      </c>
      <c r="AX19" s="208">
        <f t="shared" si="22"/>
        <v>2.4</v>
      </c>
      <c r="AY19" s="168">
        <f t="shared" si="23"/>
        <v>5</v>
      </c>
      <c r="AZ19" s="169"/>
      <c r="BA19" s="169"/>
      <c r="BC19" s="168">
        <f t="shared" ca="1" si="24"/>
        <v>13</v>
      </c>
      <c r="BD19" s="209">
        <f t="shared" ca="1" si="6"/>
        <v>49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54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50</v>
      </c>
      <c r="AW20" s="168">
        <f>COUNTIF( AV$7:AV20, AV20 )</f>
        <v>1</v>
      </c>
      <c r="AX20" s="208">
        <f t="shared" si="22"/>
        <v>50.1</v>
      </c>
      <c r="AY20" s="168">
        <f t="shared" si="23"/>
        <v>50</v>
      </c>
      <c r="AZ20" s="169"/>
      <c r="BA20" s="169"/>
      <c r="BC20" s="168">
        <f t="shared" ca="1" si="24"/>
        <v>14</v>
      </c>
      <c r="BD20" s="209">
        <f t="shared" ca="1" si="6"/>
        <v>50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5</v>
      </c>
      <c r="AX22" s="208">
        <f t="shared" si="22"/>
        <v>2.5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215</v>
      </c>
      <c r="B23" s="224" t="s">
        <v>140</v>
      </c>
      <c r="C23" s="224">
        <v>19</v>
      </c>
      <c r="D23" s="224" t="s">
        <v>216</v>
      </c>
      <c r="E23" s="225" t="str">
        <f t="shared" ca="1" si="8"/>
        <v>MR</v>
      </c>
      <c r="F23" s="365"/>
      <c r="G23" s="366">
        <f t="shared" ca="1" si="1"/>
        <v>60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7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9">
      <c r="A24" s="223" t="s">
        <v>254</v>
      </c>
      <c r="B24" s="224" t="s">
        <v>140</v>
      </c>
      <c r="C24" s="224">
        <v>19</v>
      </c>
      <c r="D24" s="224" t="s">
        <v>378</v>
      </c>
      <c r="E24" s="225" t="str">
        <f t="shared" ca="1" si="8"/>
        <v>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33</v>
      </c>
      <c r="AW24" s="168">
        <f>COUNTIF( AV$7:AV24, AV24 )</f>
        <v>5</v>
      </c>
      <c r="AX24" s="208">
        <f t="shared" si="22"/>
        <v>33.5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33</v>
      </c>
      <c r="AW25" s="168">
        <f>COUNTIF( AV$7:AV25, AV25 )</f>
        <v>6</v>
      </c>
      <c r="AX25" s="208">
        <f t="shared" si="22"/>
        <v>33.6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141</v>
      </c>
      <c r="AS26" s="207">
        <v>18</v>
      </c>
      <c r="AT26" s="207" t="s">
        <v>268</v>
      </c>
      <c r="AV26" s="168">
        <f t="shared" si="21"/>
        <v>33</v>
      </c>
      <c r="AW26" s="168">
        <f>COUNTIF( AV$7:AV26, AV26 )</f>
        <v>7</v>
      </c>
      <c r="AX26" s="208">
        <f t="shared" si="22"/>
        <v>33.700000000000003</v>
      </c>
      <c r="AY26" s="168">
        <f t="shared" si="23"/>
        <v>39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20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26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33</v>
      </c>
      <c r="AW28" s="168">
        <f>COUNTIF( AV$7:AV28, AV28 )</f>
        <v>8</v>
      </c>
      <c r="AX28" s="208">
        <f t="shared" si="22"/>
        <v>33.799999999999997</v>
      </c>
      <c r="AY28" s="168">
        <f t="shared" si="23"/>
        <v>40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65"/>
      <c r="G29" s="366">
        <f t="shared" ca="1" si="1"/>
        <v>30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46</v>
      </c>
      <c r="AW29" s="168">
        <f>COUNTIF( AV$7:AV29, AV29 )</f>
        <v>1</v>
      </c>
      <c r="AX29" s="208">
        <f t="shared" si="22"/>
        <v>46.1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MR</v>
      </c>
      <c r="F30" s="365"/>
      <c r="G30" s="366">
        <f t="shared" ca="1" si="1"/>
        <v>33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9">
      <c r="A31" s="223" t="s">
        <v>382</v>
      </c>
      <c r="B31" s="224" t="s">
        <v>140</v>
      </c>
      <c r="C31" s="224">
        <v>19</v>
      </c>
      <c r="D31" s="224" t="s">
        <v>383</v>
      </c>
      <c r="E31" s="225" t="str">
        <f t="shared" ca="1" si="8"/>
        <v>R</v>
      </c>
      <c r="F31" s="365"/>
      <c r="G31" s="366">
        <f t="shared" ca="1" si="1"/>
        <v>38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46</v>
      </c>
      <c r="AW31" s="168">
        <f>COUNTIF( AV$7:AV31, AV31 )</f>
        <v>2</v>
      </c>
      <c r="AX31" s="208">
        <f t="shared" si="22"/>
        <v>46.2</v>
      </c>
      <c r="AY31" s="168">
        <f t="shared" si="23"/>
        <v>47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9">
      <c r="A32" s="223" t="s">
        <v>303</v>
      </c>
      <c r="B32" s="224" t="s">
        <v>140</v>
      </c>
      <c r="C32" s="224">
        <v>19</v>
      </c>
      <c r="D32" s="224" t="s">
        <v>304</v>
      </c>
      <c r="E32" s="225" t="str">
        <f t="shared" ca="1" si="8"/>
        <v>R</v>
      </c>
      <c r="F32" s="365"/>
      <c r="G32" s="366">
        <f t="shared" ca="1" si="1"/>
        <v>41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>
        <f t="shared" ca="1" si="3"/>
        <v>1</v>
      </c>
      <c r="AH32" s="169" t="str">
        <f t="shared" ca="1" si="18"/>
        <v/>
      </c>
      <c r="AJ32" s="169">
        <f t="shared" ca="1" si="19"/>
        <v>50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4"/>
        <v>Change</v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33</v>
      </c>
      <c r="AW32" s="168">
        <f>COUNTIF( AV$7:AV32, AV32 )</f>
        <v>9</v>
      </c>
      <c r="AX32" s="208">
        <f t="shared" si="22"/>
        <v>33.9</v>
      </c>
      <c r="AY32" s="168">
        <f t="shared" si="23"/>
        <v>41</v>
      </c>
      <c r="AZ32" s="169"/>
      <c r="BA32" s="169"/>
      <c r="BC32" s="168">
        <f t="shared" ca="1" si="24"/>
        <v>26</v>
      </c>
      <c r="BD32" s="209">
        <f t="shared" ca="1" si="6"/>
        <v>37</v>
      </c>
      <c r="BF32" s="173" t="str">
        <f t="shared" ca="1" si="7"/>
        <v>PNM Resources,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PNM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8"/>
        <v>MR</v>
      </c>
      <c r="F33" s="365"/>
      <c r="G33" s="366">
        <f t="shared" ca="1" si="1"/>
        <v>44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49</v>
      </c>
      <c r="AW33" s="168">
        <f>COUNTIF( AV$7:AV33, AV33 )</f>
        <v>1</v>
      </c>
      <c r="AX33" s="208">
        <f t="shared" si="22"/>
        <v>49.1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6"/>
        <v>40</v>
      </c>
      <c r="BF33" s="173" t="str">
        <f t="shared" ca="1" si="7"/>
        <v>Public Service Enterprise Group Incorporated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PEG</v>
      </c>
    </row>
    <row r="34" spans="1:61" ht="13.9">
      <c r="A34" s="223" t="s">
        <v>347</v>
      </c>
      <c r="B34" s="224" t="s">
        <v>140</v>
      </c>
      <c r="C34" s="224">
        <v>19</v>
      </c>
      <c r="D34" s="224" t="s">
        <v>348</v>
      </c>
      <c r="E34" s="225" t="str">
        <f t="shared" ca="1" si="8"/>
        <v>MR</v>
      </c>
      <c r="F34" s="365"/>
      <c r="G34" s="366">
        <f t="shared" ca="1" si="1"/>
        <v>45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SCANA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SCG</v>
      </c>
    </row>
    <row r="35" spans="1:61" ht="13.9">
      <c r="A35" s="223" t="s">
        <v>291</v>
      </c>
      <c r="B35" s="224" t="s">
        <v>140</v>
      </c>
      <c r="C35" s="224">
        <v>19</v>
      </c>
      <c r="D35" s="224" t="s">
        <v>292</v>
      </c>
      <c r="E35" s="225" t="str">
        <f t="shared" ca="1" si="8"/>
        <v>MR</v>
      </c>
      <c r="F35" s="365"/>
      <c r="G35" s="366">
        <f t="shared" ca="1" si="1"/>
        <v>46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43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3.9">
      <c r="A36" s="223" t="s">
        <v>369</v>
      </c>
      <c r="B36" s="224" t="s">
        <v>140</v>
      </c>
      <c r="C36" s="224">
        <v>19</v>
      </c>
      <c r="D36" s="224" t="s">
        <v>375</v>
      </c>
      <c r="E36" s="225" t="str">
        <f t="shared" ca="1" si="8"/>
        <v>R</v>
      </c>
      <c r="F36" s="365"/>
      <c r="G36" s="366">
        <f t="shared" ca="1" si="1"/>
        <v>48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TECO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TE</v>
      </c>
    </row>
    <row r="37" spans="1:61" ht="13.9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65"/>
      <c r="G37" s="366">
        <f t="shared" ca="1" si="1"/>
        <v>50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33</v>
      </c>
      <c r="AW37" s="168">
        <f>COUNTIF( AV$7:AV37, AV37 )</f>
        <v>10</v>
      </c>
      <c r="AX37" s="208">
        <f t="shared" si="22"/>
        <v>34</v>
      </c>
      <c r="AY37" s="168">
        <f t="shared" si="23"/>
        <v>42</v>
      </c>
      <c r="AZ37" s="169"/>
      <c r="BA37" s="169"/>
      <c r="BC37" s="168">
        <f t="shared" ca="1" si="24"/>
        <v>31</v>
      </c>
      <c r="BD37" s="209">
        <f t="shared" ca="1" si="6"/>
        <v>46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*UTL</v>
      </c>
    </row>
    <row r="38" spans="1:61" ht="13.9">
      <c r="A38" s="223" t="s">
        <v>354</v>
      </c>
      <c r="B38" s="224" t="s">
        <v>140</v>
      </c>
      <c r="C38" s="224">
        <v>19</v>
      </c>
      <c r="D38" s="224" t="s">
        <v>355</v>
      </c>
      <c r="E38" s="225" t="str">
        <f t="shared" ca="1" si="8"/>
        <v>R</v>
      </c>
      <c r="F38" s="365"/>
      <c r="G38" s="366">
        <f t="shared" ca="1" si="1"/>
        <v>52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48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3.9">
      <c r="A39" s="223" t="s">
        <v>222</v>
      </c>
      <c r="B39" s="224" t="s">
        <v>141</v>
      </c>
      <c r="C39" s="224">
        <v>18</v>
      </c>
      <c r="D39" s="224" t="s">
        <v>223</v>
      </c>
      <c r="E39" s="225" t="str">
        <f t="shared" ca="1" si="8"/>
        <v>R</v>
      </c>
      <c r="F39" s="365"/>
      <c r="G39" s="366">
        <f t="shared" ca="1" si="1"/>
        <v>10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33</v>
      </c>
      <c r="AW39" s="168">
        <f>COUNTIF( AV$7:AV39, AV39 )</f>
        <v>11</v>
      </c>
      <c r="AX39" s="208">
        <f t="shared" si="22"/>
        <v>34.1</v>
      </c>
      <c r="AY39" s="168">
        <f t="shared" si="23"/>
        <v>43</v>
      </c>
      <c r="AZ39" s="169"/>
      <c r="BA39" s="169"/>
      <c r="BC39" s="168">
        <f t="shared" ca="1" si="24"/>
        <v>33</v>
      </c>
      <c r="BD39" s="209">
        <f t="shared" ca="1" si="6"/>
        <v>4</v>
      </c>
      <c r="BF39" s="173" t="str">
        <f t="shared" ref="BF39:BI63" ca="1" si="25">OFFSET( AQ$6, $BD39, 0 )</f>
        <v>American Electric Power Company,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AEP</v>
      </c>
    </row>
    <row r="40" spans="1:61" ht="13.9">
      <c r="A40" s="223" t="s">
        <v>381</v>
      </c>
      <c r="B40" s="224" t="s">
        <v>141</v>
      </c>
      <c r="C40" s="224">
        <v>18</v>
      </c>
      <c r="D40" s="224" t="s">
        <v>234</v>
      </c>
      <c r="E40" s="225" t="str">
        <f t="shared" ca="1" si="8"/>
        <v>R</v>
      </c>
      <c r="F40" s="365"/>
      <c r="G40" s="366">
        <f t="shared" ca="1" si="1"/>
        <v>56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45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382</v>
      </c>
      <c r="AR40" s="207" t="s">
        <v>140</v>
      </c>
      <c r="AS40" s="207">
        <v>19</v>
      </c>
      <c r="AT40" s="207" t="s">
        <v>383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5</v>
      </c>
      <c r="BF40" s="173" t="str">
        <f t="shared" ca="1" si="25"/>
        <v xml:space="preserve">AVANGRID, Inc. 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AGR</v>
      </c>
    </row>
    <row r="41" spans="1:61" ht="13.9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65"/>
      <c r="G41" s="366">
        <f t="shared" ca="1" si="1"/>
        <v>11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301</v>
      </c>
      <c r="AR41" s="207" t="s">
        <v>141</v>
      </c>
      <c r="AS41" s="207">
        <v>18</v>
      </c>
      <c r="AT41" s="207" t="s">
        <v>302</v>
      </c>
      <c r="AV41" s="168">
        <f t="shared" si="21"/>
        <v>33</v>
      </c>
      <c r="AW41" s="168">
        <f>COUNTIF( AV$7:AV41, AV41 )</f>
        <v>12</v>
      </c>
      <c r="AX41" s="208">
        <f t="shared" si="22"/>
        <v>34.200000000000003</v>
      </c>
      <c r="AY41" s="168">
        <f t="shared" si="23"/>
        <v>44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9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65"/>
      <c r="G42" s="366">
        <f t="shared" ca="1" si="1"/>
        <v>12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281</v>
      </c>
      <c r="AR42" s="207" t="s">
        <v>139</v>
      </c>
      <c r="AS42" s="207">
        <v>20</v>
      </c>
      <c r="AT42" s="207" t="s">
        <v>282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9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65"/>
      <c r="G43" s="366">
        <f t="shared" ca="1" si="1"/>
        <v>21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303</v>
      </c>
      <c r="AR43" s="207" t="s">
        <v>140</v>
      </c>
      <c r="AS43" s="207">
        <v>19</v>
      </c>
      <c r="AT43" s="207" t="s">
        <v>304</v>
      </c>
      <c r="AV43" s="168">
        <f t="shared" si="21"/>
        <v>15</v>
      </c>
      <c r="AW43" s="168">
        <f>COUNTIF( AV$7:AV43, AV43 )</f>
        <v>12</v>
      </c>
      <c r="AX43" s="208">
        <f t="shared" si="22"/>
        <v>16.2</v>
      </c>
      <c r="AY43" s="168">
        <f t="shared" si="23"/>
        <v>26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9">
      <c r="A44" s="223" t="s">
        <v>367</v>
      </c>
      <c r="B44" s="224" t="s">
        <v>141</v>
      </c>
      <c r="C44" s="224">
        <v>18</v>
      </c>
      <c r="D44" s="224" t="s">
        <v>368</v>
      </c>
      <c r="E44" s="225" t="str">
        <f t="shared" ca="1" si="8"/>
        <v>R</v>
      </c>
      <c r="F44" s="365"/>
      <c r="G44" s="366">
        <f t="shared" ca="1" si="1"/>
        <v>22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285</v>
      </c>
      <c r="AR44" s="207" t="s">
        <v>141</v>
      </c>
      <c r="AS44" s="207">
        <v>18</v>
      </c>
      <c r="AT44" s="207" t="s">
        <v>286</v>
      </c>
      <c r="AV44" s="168">
        <f t="shared" si="21"/>
        <v>33</v>
      </c>
      <c r="AW44" s="168">
        <f>COUNTIF( AV$7:AV44, AV44 )</f>
        <v>13</v>
      </c>
      <c r="AX44" s="208">
        <f t="shared" si="22"/>
        <v>34.299999999999997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9">
      <c r="A45" s="223" t="s">
        <v>267</v>
      </c>
      <c r="B45" s="224" t="s">
        <v>141</v>
      </c>
      <c r="C45" s="224">
        <v>18</v>
      </c>
      <c r="D45" s="224" t="s">
        <v>268</v>
      </c>
      <c r="E45" s="225" t="str">
        <f t="shared" ca="1" si="8"/>
        <v>R</v>
      </c>
      <c r="F45" s="365"/>
      <c r="G45" s="366">
        <f t="shared" ca="1" si="1"/>
        <v>23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243</v>
      </c>
      <c r="AR45" s="207" t="s">
        <v>139</v>
      </c>
      <c r="AS45" s="207">
        <v>20</v>
      </c>
      <c r="AT45" s="207" t="s">
        <v>244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20</v>
      </c>
      <c r="BF45" s="173" t="str">
        <f t="shared" ca="1" si="25"/>
        <v>Entergy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ETR</v>
      </c>
    </row>
    <row r="46" spans="1:61" ht="13.9">
      <c r="A46" s="223" t="s">
        <v>269</v>
      </c>
      <c r="B46" s="224" t="s">
        <v>141</v>
      </c>
      <c r="C46" s="224">
        <v>18</v>
      </c>
      <c r="D46" s="224" t="s">
        <v>270</v>
      </c>
      <c r="E46" s="225" t="str">
        <f t="shared" ca="1" si="8"/>
        <v>MR</v>
      </c>
      <c r="F46" s="365"/>
      <c r="G46" s="366">
        <f t="shared" ca="1" si="1"/>
        <v>24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289</v>
      </c>
      <c r="AR46" s="207" t="s">
        <v>140</v>
      </c>
      <c r="AS46" s="207">
        <v>19</v>
      </c>
      <c r="AT46" s="207" t="s">
        <v>290</v>
      </c>
      <c r="AV46" s="168">
        <f t="shared" si="21"/>
        <v>15</v>
      </c>
      <c r="AW46" s="168">
        <f>COUNTIF( AV$7:AV46, AV46 )</f>
        <v>13</v>
      </c>
      <c r="AX46" s="208">
        <f t="shared" si="22"/>
        <v>16.3</v>
      </c>
      <c r="AY46" s="168">
        <f t="shared" si="23"/>
        <v>27</v>
      </c>
      <c r="AZ46" s="169"/>
      <c r="BA46" s="169"/>
      <c r="BC46" s="168">
        <f t="shared" ca="1" si="24"/>
        <v>40</v>
      </c>
      <c r="BD46" s="209">
        <f t="shared" ca="1" si="6"/>
        <v>22</v>
      </c>
      <c r="BF46" s="173" t="str">
        <f t="shared" ca="1" si="25"/>
        <v>Exelon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EXC</v>
      </c>
    </row>
    <row r="47" spans="1:61" ht="13.9">
      <c r="A47" s="223" t="s">
        <v>283</v>
      </c>
      <c r="B47" s="224" t="s">
        <v>141</v>
      </c>
      <c r="C47" s="224">
        <v>18</v>
      </c>
      <c r="D47" s="224" t="s">
        <v>284</v>
      </c>
      <c r="E47" s="225" t="str">
        <f t="shared" ca="1" si="8"/>
        <v>R</v>
      </c>
      <c r="F47" s="365"/>
      <c r="G47" s="366">
        <f t="shared" ca="1" si="1"/>
        <v>28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305</v>
      </c>
      <c r="AR47" s="207" t="s">
        <v>142</v>
      </c>
      <c r="AS47" s="207">
        <v>17</v>
      </c>
      <c r="AT47" s="207" t="s">
        <v>306</v>
      </c>
      <c r="AV47" s="168">
        <f t="shared" si="21"/>
        <v>46</v>
      </c>
      <c r="AW47" s="168">
        <f>COUNTIF( AV$7:AV47, AV47 )</f>
        <v>3</v>
      </c>
      <c r="AX47" s="208">
        <f t="shared" si="22"/>
        <v>46.3</v>
      </c>
      <c r="AY47" s="168">
        <f t="shared" si="23"/>
        <v>48</v>
      </c>
      <c r="AZ47" s="169"/>
      <c r="BA47" s="169"/>
      <c r="BC47" s="168">
        <f t="shared" ca="1" si="24"/>
        <v>41</v>
      </c>
      <c r="BD47" s="209">
        <f t="shared" ca="1" si="6"/>
        <v>26</v>
      </c>
      <c r="BF47" s="173" t="str">
        <f t="shared" ca="1" si="25"/>
        <v>IDACORP, Inc.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IDA</v>
      </c>
    </row>
    <row r="48" spans="1:61" ht="13.9">
      <c r="A48" s="223" t="s">
        <v>297</v>
      </c>
      <c r="B48" s="224" t="s">
        <v>141</v>
      </c>
      <c r="C48" s="224">
        <v>18</v>
      </c>
      <c r="D48" s="224" t="s">
        <v>298</v>
      </c>
      <c r="E48" s="225" t="str">
        <f t="shared" ca="1" si="8"/>
        <v>R</v>
      </c>
      <c r="F48" s="365"/>
      <c r="G48" s="366">
        <f t="shared" ca="1" si="1"/>
        <v>35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347</v>
      </c>
      <c r="AR48" s="207" t="s">
        <v>140</v>
      </c>
      <c r="AS48" s="207">
        <v>19</v>
      </c>
      <c r="AT48" s="207" t="s">
        <v>348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31</v>
      </c>
      <c r="BF48" s="173" t="str">
        <f t="shared" ca="1" si="25"/>
        <v>NorthWestern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NWE</v>
      </c>
    </row>
    <row r="49" spans="1:61" ht="13.9">
      <c r="A49" s="223" t="s">
        <v>299</v>
      </c>
      <c r="B49" s="224" t="s">
        <v>141</v>
      </c>
      <c r="C49" s="224">
        <v>18</v>
      </c>
      <c r="D49" s="224" t="s">
        <v>300</v>
      </c>
      <c r="E49" s="225" t="str">
        <f t="shared" ca="1" si="8"/>
        <v>R</v>
      </c>
      <c r="F49" s="365"/>
      <c r="G49" s="366">
        <f t="shared" ca="1" si="1"/>
        <v>37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291</v>
      </c>
      <c r="AR49" s="207" t="s">
        <v>140</v>
      </c>
      <c r="AS49" s="207">
        <v>19</v>
      </c>
      <c r="AT49" s="207" t="s">
        <v>292</v>
      </c>
      <c r="AV49" s="168">
        <f t="shared" si="21"/>
        <v>15</v>
      </c>
      <c r="AW49" s="168">
        <f>COUNTIF( AV$7:AV49, AV49 )</f>
        <v>15</v>
      </c>
      <c r="AX49" s="208">
        <f t="shared" si="22"/>
        <v>16.5</v>
      </c>
      <c r="AY49" s="168">
        <f t="shared" si="23"/>
        <v>29</v>
      </c>
      <c r="AZ49" s="169"/>
      <c r="BA49" s="169"/>
      <c r="BC49" s="168">
        <f t="shared" ca="1" si="24"/>
        <v>43</v>
      </c>
      <c r="BD49" s="209">
        <f t="shared" ca="1" si="6"/>
        <v>33</v>
      </c>
      <c r="BF49" s="173" t="str">
        <f t="shared" ca="1" si="25"/>
        <v>Otter Tail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OTTR</v>
      </c>
    </row>
    <row r="50" spans="1:61" ht="13.9">
      <c r="A50" s="223" t="s">
        <v>301</v>
      </c>
      <c r="B50" s="224" t="s">
        <v>141</v>
      </c>
      <c r="C50" s="224">
        <v>18</v>
      </c>
      <c r="D50" s="224" t="s">
        <v>302</v>
      </c>
      <c r="E50" s="225" t="str">
        <f t="shared" ca="1" si="8"/>
        <v>R</v>
      </c>
      <c r="F50" s="365"/>
      <c r="G50" s="366">
        <f t="shared" ca="1" si="1"/>
        <v>39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293</v>
      </c>
      <c r="AR50" s="207" t="s">
        <v>139</v>
      </c>
      <c r="AS50" s="207">
        <v>20</v>
      </c>
      <c r="AT50" s="207" t="s">
        <v>294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35</v>
      </c>
      <c r="BF50" s="173" t="str">
        <f t="shared" ca="1" si="25"/>
        <v>PG&amp;E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PCG</v>
      </c>
    </row>
    <row r="51" spans="1:61" ht="13.9">
      <c r="A51" s="223" t="s">
        <v>285</v>
      </c>
      <c r="B51" s="224" t="s">
        <v>141</v>
      </c>
      <c r="C51" s="224">
        <v>18</v>
      </c>
      <c r="D51" s="224" t="s">
        <v>286</v>
      </c>
      <c r="E51" s="225" t="str">
        <f t="shared" ca="1" si="8"/>
        <v>R</v>
      </c>
      <c r="F51" s="365"/>
      <c r="G51" s="366">
        <f t="shared" ca="1" si="1"/>
        <v>42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369</v>
      </c>
      <c r="AR51" s="207" t="s">
        <v>140</v>
      </c>
      <c r="AS51" s="207">
        <v>19</v>
      </c>
      <c r="AT51" s="207" t="s">
        <v>375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8"/>
        <v>MR</v>
      </c>
      <c r="F52" s="365"/>
      <c r="G52" s="366">
        <f t="shared" ca="1" si="1"/>
        <v>25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295</v>
      </c>
      <c r="AR52" s="207" t="s">
        <v>140</v>
      </c>
      <c r="AS52" s="207">
        <v>19</v>
      </c>
      <c r="AT52" s="207" t="s">
        <v>376</v>
      </c>
      <c r="AV52" s="168">
        <f t="shared" si="21"/>
        <v>15</v>
      </c>
      <c r="AW52" s="168">
        <f>COUNTIF( AV$7:AV52, AV52 )</f>
        <v>17</v>
      </c>
      <c r="AX52" s="208">
        <f t="shared" si="22"/>
        <v>16.7</v>
      </c>
      <c r="AY52" s="168">
        <f t="shared" si="23"/>
        <v>31</v>
      </c>
      <c r="AZ52" s="169"/>
      <c r="BA52" s="169"/>
      <c r="BC52" s="168">
        <f t="shared" ca="1" si="24"/>
        <v>46</v>
      </c>
      <c r="BD52" s="209">
        <f t="shared" ca="1" si="6"/>
        <v>23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8"/>
        <v>D</v>
      </c>
      <c r="F53" s="365"/>
      <c r="G53" s="366">
        <f t="shared" ca="1" si="1"/>
        <v>27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345</v>
      </c>
      <c r="AR53" s="207" t="s">
        <v>139</v>
      </c>
      <c r="AS53" s="207">
        <v>20</v>
      </c>
      <c r="AT53" s="207" t="s">
        <v>346</v>
      </c>
      <c r="AV53" s="168">
        <f t="shared" si="21"/>
        <v>2</v>
      </c>
      <c r="AW53" s="168">
        <f>COUNTIF( AV$7:AV53, AV53 )</f>
        <v>11</v>
      </c>
      <c r="AX53" s="208">
        <f t="shared" si="22"/>
        <v>3.1</v>
      </c>
      <c r="AY53" s="168">
        <f t="shared" si="23"/>
        <v>12</v>
      </c>
      <c r="AZ53" s="169"/>
      <c r="BA53" s="169"/>
      <c r="BC53" s="168">
        <f t="shared" ca="1" si="24"/>
        <v>47</v>
      </c>
      <c r="BD53" s="209">
        <f t="shared" ca="1" si="6"/>
        <v>25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9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65"/>
      <c r="G54" s="366">
        <f t="shared" ca="1" si="1"/>
        <v>61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354</v>
      </c>
      <c r="AR54" s="207" t="s">
        <v>140</v>
      </c>
      <c r="AS54" s="207">
        <v>19</v>
      </c>
      <c r="AT54" s="207" t="s">
        <v>355</v>
      </c>
      <c r="AV54" s="168">
        <f t="shared" si="21"/>
        <v>15</v>
      </c>
      <c r="AW54" s="168">
        <f>COUNTIF( AV$7:AV54, AV54 )</f>
        <v>18</v>
      </c>
      <c r="AX54" s="208">
        <f t="shared" si="22"/>
        <v>16.8</v>
      </c>
      <c r="AY54" s="168">
        <f t="shared" si="23"/>
        <v>32</v>
      </c>
      <c r="AZ54" s="169"/>
      <c r="BA54" s="169"/>
      <c r="BC54" s="168">
        <f t="shared" ca="1" si="24"/>
        <v>48</v>
      </c>
      <c r="BD54" s="209">
        <f t="shared" ca="1" si="6"/>
        <v>41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9">
      <c r="A55" s="223" t="s">
        <v>287</v>
      </c>
      <c r="B55" s="224" t="s">
        <v>173</v>
      </c>
      <c r="C55" s="224">
        <v>16</v>
      </c>
      <c r="D55" s="224" t="s">
        <v>288</v>
      </c>
      <c r="E55" s="225" t="str">
        <f t="shared" ca="1" si="8"/>
        <v>R</v>
      </c>
      <c r="F55" s="365"/>
      <c r="G55" s="366">
        <f t="shared" ca="1" si="1"/>
        <v>59</v>
      </c>
      <c r="H55" s="367"/>
      <c r="I55" s="367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4"/>
        <v/>
      </c>
      <c r="AQ55" s="207" t="s">
        <v>247</v>
      </c>
      <c r="AR55" s="207" t="s">
        <v>139</v>
      </c>
      <c r="AS55" s="207">
        <v>20</v>
      </c>
      <c r="AT55" s="207" t="s">
        <v>248</v>
      </c>
      <c r="AV55" s="168">
        <f t="shared" si="21"/>
        <v>2</v>
      </c>
      <c r="AW55" s="168">
        <f>COUNTIF( AV$7:AV55, AV55 )</f>
        <v>12</v>
      </c>
      <c r="AX55" s="208">
        <f t="shared" si="22"/>
        <v>3.2</v>
      </c>
      <c r="AY55" s="168">
        <f t="shared" si="23"/>
        <v>13</v>
      </c>
      <c r="AZ55" s="169"/>
      <c r="BA55" s="169"/>
      <c r="BC55" s="168">
        <f t="shared" ca="1" si="24"/>
        <v>49</v>
      </c>
      <c r="BD55" s="209">
        <f t="shared" ca="1" si="6"/>
        <v>27</v>
      </c>
      <c r="BF55" s="173" t="str">
        <f t="shared" ca="1" si="25"/>
        <v>IPALCO Enterprises, Inc.</v>
      </c>
      <c r="BG55" s="173" t="str">
        <f t="shared" ca="1" si="25"/>
        <v>BB+</v>
      </c>
      <c r="BH55" s="173">
        <f t="shared" ca="1" si="25"/>
        <v>16</v>
      </c>
      <c r="BI55" s="173" t="str">
        <f t="shared" ca="1" si="25"/>
        <v>**IPALCO</v>
      </c>
    </row>
    <row r="56" spans="1:61" ht="13.9">
      <c r="A56" s="223" t="s">
        <v>259</v>
      </c>
      <c r="B56" s="224" t="s">
        <v>175</v>
      </c>
      <c r="C56" s="224">
        <v>15</v>
      </c>
      <c r="D56" s="224" t="s">
        <v>260</v>
      </c>
      <c r="E56" s="225" t="str">
        <f t="shared" ca="1" si="8"/>
        <v>R</v>
      </c>
      <c r="F56" s="365"/>
      <c r="G56" s="366">
        <f t="shared" ca="1" si="1"/>
        <v>57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</v>
      </c>
      <c r="AL56" s="169">
        <f t="shared" ca="1" si="20"/>
        <v>15</v>
      </c>
      <c r="AM56" s="169" t="str">
        <f t="shared" ca="1" si="4"/>
        <v/>
      </c>
      <c r="AQ56" s="207" t="s">
        <v>251</v>
      </c>
      <c r="AR56" s="207" t="s">
        <v>139</v>
      </c>
      <c r="AS56" s="207">
        <v>20</v>
      </c>
      <c r="AT56" s="207" t="s">
        <v>252</v>
      </c>
      <c r="AV56" s="168">
        <f t="shared" si="21"/>
        <v>2</v>
      </c>
      <c r="AW56" s="168">
        <f>COUNTIF( AV$7:AV56, AV56 )</f>
        <v>13</v>
      </c>
      <c r="AX56" s="208">
        <f t="shared" si="22"/>
        <v>3.3</v>
      </c>
      <c r="AY56" s="168">
        <f t="shared" si="23"/>
        <v>14</v>
      </c>
      <c r="AZ56" s="169"/>
      <c r="BA56" s="169"/>
      <c r="BC56" s="168">
        <f t="shared" ca="1" si="24"/>
        <v>50</v>
      </c>
      <c r="BD56" s="209">
        <f t="shared" ca="1" si="6"/>
        <v>14</v>
      </c>
      <c r="BF56" s="173" t="str">
        <f t="shared" ca="1" si="25"/>
        <v>DPL Inc.</v>
      </c>
      <c r="BG56" s="173" t="str">
        <f t="shared" ca="1" si="25"/>
        <v>BB</v>
      </c>
      <c r="BH56" s="173">
        <f t="shared" ca="1" si="25"/>
        <v>15</v>
      </c>
      <c r="BI56" s="173" t="str">
        <f t="shared" ca="1" si="25"/>
        <v>**DPL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1</v>
      </c>
      <c r="AX57" s="208">
        <f t="shared" si="22"/>
        <v>99.1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2</v>
      </c>
      <c r="AX58" s="208">
        <f t="shared" si="22"/>
        <v>99.2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3</v>
      </c>
      <c r="AX59" s="208">
        <f t="shared" si="22"/>
        <v>99.3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4</v>
      </c>
      <c r="AX60" s="208">
        <f t="shared" si="22"/>
        <v>99.4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5</v>
      </c>
      <c r="AX61" s="208">
        <f t="shared" si="22"/>
        <v>99.5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65"/>
      <c r="G62" s="366">
        <f t="shared" ca="1" si="1"/>
        <v>58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6</v>
      </c>
      <c r="AX62" s="208">
        <f t="shared" si="22"/>
        <v>99.6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7</v>
      </c>
      <c r="AX63" s="208">
        <f t="shared" si="22"/>
        <v>99.7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18.862745098039216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18.843137254901961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-- 2015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Reg_Percent_2014</v>
      </c>
      <c r="G2" s="172" t="s">
        <v>379</v>
      </c>
      <c r="AJ2" s="173" t="str">
        <f>AJ4 &amp; AJ3</f>
        <v>'Credit_2015Q2'!d:d</v>
      </c>
      <c r="AK2" s="173" t="str">
        <f>AK4 &amp; AK3</f>
        <v>'Credit_2015Q2'!b1</v>
      </c>
      <c r="AL2" s="173" t="str">
        <f>AL4 &amp; AL3</f>
        <v>'Credit_2015Q2'!c1</v>
      </c>
      <c r="AQ2" s="169"/>
    </row>
    <row r="3" spans="1:61" ht="18" hidden="1" outlineLevel="1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'Credit_2015Q2'!</v>
      </c>
      <c r="AK4" s="169" t="str">
        <f t="shared" ref="AK4:AL4" si="0">$AQ$5</f>
        <v>'Credit_2015Q2'!</v>
      </c>
      <c r="AL4" s="169" t="str">
        <f t="shared" si="0"/>
        <v>'Credit_2015Q2'!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(52)</v>
      </c>
      <c r="M5" s="359"/>
      <c r="N5" s="230"/>
      <c r="O5" s="357" t="str">
        <f ca="1">"Regulated" &amp; CHAR( 10 ) &amp; "(" &amp; O14 &amp; ")"</f>
        <v>Regulated
(37)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385</v>
      </c>
    </row>
    <row r="6" spans="1:61" ht="28.5" customHeight="1">
      <c r="A6" s="219" t="s">
        <v>212</v>
      </c>
      <c r="B6" s="220" t="s">
        <v>62</v>
      </c>
      <c r="C6" s="249" t="s">
        <v>214</v>
      </c>
      <c r="D6" s="221"/>
      <c r="E6" s="222">
        <f ca="1">INDIRECT( E3 &amp; G1 )</f>
        <v>42004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166</v>
      </c>
      <c r="C7" s="224">
        <v>21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34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3.8461538461538464E-2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2.7027027027027029E-2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13</v>
      </c>
      <c r="M9" s="216">
        <f t="shared" si="10"/>
        <v>0.25</v>
      </c>
      <c r="N9" s="234"/>
      <c r="O9" s="215">
        <f t="shared" ca="1" si="11"/>
        <v>8</v>
      </c>
      <c r="P9" s="216">
        <f t="shared" ca="1" si="12"/>
        <v>0.21621621621621623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9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65"/>
      <c r="G12" s="366">
        <f t="shared" ca="1" si="1"/>
        <v>19</v>
      </c>
      <c r="H12" s="367"/>
      <c r="I12" s="234"/>
      <c r="J12" s="215" t="s">
        <v>142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15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18.807692307692307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9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65"/>
      <c r="G15" s="366">
        <f t="shared" ca="1" si="1"/>
        <v>40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9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MR</v>
      </c>
      <c r="F16" s="365"/>
      <c r="G16" s="366">
        <f t="shared" ca="1" si="1"/>
        <v>43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18.826923076923077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18.648648648648649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19.46153846153846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9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65"/>
      <c r="G17" s="366">
        <f t="shared" ca="1" si="1"/>
        <v>47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>
        <f t="shared" ca="1" si="18"/>
        <v>1</v>
      </c>
      <c r="AJ17" s="169">
        <f t="shared" ca="1" si="19"/>
        <v>8</v>
      </c>
      <c r="AK17" s="169" t="str">
        <f t="shared" ca="1" si="20"/>
        <v>A</v>
      </c>
      <c r="AL17" s="169">
        <f t="shared" ca="1" si="20"/>
        <v>21</v>
      </c>
      <c r="AM17" s="169" t="str">
        <f t="shared" ca="1" si="4"/>
        <v>Change</v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MR</v>
      </c>
      <c r="F18" s="365"/>
      <c r="G18" s="366">
        <f t="shared" ca="1" si="1"/>
        <v>51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386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53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WEC Energy Group,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54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139</v>
      </c>
      <c r="AS21" s="207">
        <v>20</v>
      </c>
      <c r="AT21" s="207" t="s">
        <v>264</v>
      </c>
      <c r="AV21" s="168">
        <f t="shared" si="21"/>
        <v>2</v>
      </c>
      <c r="AW21" s="168">
        <f>COUNTIF( AV$7:AV21, AV21 )</f>
        <v>5</v>
      </c>
      <c r="AX21" s="208">
        <f t="shared" si="22"/>
        <v>2.5</v>
      </c>
      <c r="AY21" s="168">
        <f t="shared" si="23"/>
        <v>6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215</v>
      </c>
      <c r="B23" s="224" t="s">
        <v>140</v>
      </c>
      <c r="C23" s="224">
        <v>19</v>
      </c>
      <c r="D23" s="224" t="s">
        <v>216</v>
      </c>
      <c r="E23" s="225" t="str">
        <f t="shared" ca="1" si="8"/>
        <v>MR</v>
      </c>
      <c r="F23" s="365"/>
      <c r="G23" s="366">
        <f t="shared" ca="1" si="1"/>
        <v>60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9">
      <c r="A24" s="223" t="s">
        <v>254</v>
      </c>
      <c r="B24" s="224" t="s">
        <v>140</v>
      </c>
      <c r="C24" s="224">
        <v>19</v>
      </c>
      <c r="D24" s="224" t="s">
        <v>378</v>
      </c>
      <c r="E24" s="225" t="str">
        <f t="shared" ca="1" si="8"/>
        <v>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20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26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65"/>
      <c r="G29" s="366">
        <f t="shared" ca="1" si="1"/>
        <v>30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MR</v>
      </c>
      <c r="F30" s="365"/>
      <c r="G30" s="366">
        <f t="shared" ca="1" si="1"/>
        <v>33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9">
      <c r="A31" s="223" t="s">
        <v>382</v>
      </c>
      <c r="B31" s="224" t="s">
        <v>140</v>
      </c>
      <c r="C31" s="224">
        <v>19</v>
      </c>
      <c r="D31" s="224" t="s">
        <v>383</v>
      </c>
      <c r="E31" s="225" t="str">
        <f t="shared" ca="1" si="8"/>
        <v>R</v>
      </c>
      <c r="F31" s="365"/>
      <c r="G31" s="366">
        <f t="shared" ca="1" si="1"/>
        <v>38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9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65"/>
      <c r="G32" s="366">
        <f t="shared" ca="1" si="1"/>
        <v>44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9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65"/>
      <c r="G33" s="366">
        <f t="shared" ca="1" si="1"/>
        <v>45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65"/>
      <c r="G34" s="366">
        <f t="shared" ca="1" si="1"/>
        <v>46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9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65"/>
      <c r="G35" s="366">
        <f t="shared" ca="1" si="1"/>
        <v>48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9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65"/>
      <c r="G36" s="366">
        <f t="shared" ca="1" si="1"/>
        <v>50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9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65"/>
      <c r="G37" s="366">
        <f t="shared" ca="1" si="1"/>
        <v>52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9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65"/>
      <c r="G38" s="366">
        <f t="shared" ca="1" si="1"/>
        <v>10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9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65"/>
      <c r="G39" s="366">
        <f t="shared" ca="1" si="1"/>
        <v>11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9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65"/>
      <c r="G40" s="366">
        <f t="shared" ca="1" si="1"/>
        <v>12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382</v>
      </c>
      <c r="AR40" s="207" t="s">
        <v>140</v>
      </c>
      <c r="AS40" s="207">
        <v>19</v>
      </c>
      <c r="AT40" s="207" t="s">
        <v>383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9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65"/>
      <c r="G41" s="366">
        <f t="shared" ca="1" si="1"/>
        <v>21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301</v>
      </c>
      <c r="AR41" s="207" t="s">
        <v>141</v>
      </c>
      <c r="AS41" s="207">
        <v>18</v>
      </c>
      <c r="AT41" s="207" t="s">
        <v>302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9">
      <c r="A42" s="223" t="s">
        <v>367</v>
      </c>
      <c r="B42" s="224" t="s">
        <v>141</v>
      </c>
      <c r="C42" s="224">
        <v>18</v>
      </c>
      <c r="D42" s="224" t="s">
        <v>368</v>
      </c>
      <c r="E42" s="225" t="str">
        <f t="shared" ca="1" si="8"/>
        <v>R</v>
      </c>
      <c r="F42" s="365"/>
      <c r="G42" s="366">
        <f t="shared" ca="1" si="1"/>
        <v>22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281</v>
      </c>
      <c r="AR42" s="207" t="s">
        <v>139</v>
      </c>
      <c r="AS42" s="207">
        <v>20</v>
      </c>
      <c r="AT42" s="207" t="s">
        <v>282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9">
      <c r="A43" s="223" t="s">
        <v>267</v>
      </c>
      <c r="B43" s="224" t="s">
        <v>141</v>
      </c>
      <c r="C43" s="224">
        <v>18</v>
      </c>
      <c r="D43" s="224" t="s">
        <v>268</v>
      </c>
      <c r="E43" s="225" t="str">
        <f t="shared" ca="1" si="8"/>
        <v>R</v>
      </c>
      <c r="F43" s="365"/>
      <c r="G43" s="366">
        <f t="shared" ca="1" si="1"/>
        <v>23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303</v>
      </c>
      <c r="AR43" s="207" t="s">
        <v>141</v>
      </c>
      <c r="AS43" s="207">
        <v>18</v>
      </c>
      <c r="AT43" s="207" t="s">
        <v>304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9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65"/>
      <c r="G44" s="366">
        <f t="shared" ca="1" si="1"/>
        <v>24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285</v>
      </c>
      <c r="AR44" s="207" t="s">
        <v>141</v>
      </c>
      <c r="AS44" s="207">
        <v>18</v>
      </c>
      <c r="AT44" s="207" t="s">
        <v>286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9">
      <c r="A45" s="223" t="s">
        <v>387</v>
      </c>
      <c r="B45" s="224" t="s">
        <v>141</v>
      </c>
      <c r="C45" s="224">
        <v>18</v>
      </c>
      <c r="D45" s="319" t="s">
        <v>234</v>
      </c>
      <c r="E45" s="225" t="str">
        <f t="shared" ca="1" si="8"/>
        <v>R</v>
      </c>
      <c r="F45" s="365"/>
      <c r="G45" s="366">
        <f t="shared" ca="1" si="1"/>
        <v>56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330"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243</v>
      </c>
      <c r="AR45" s="207" t="s">
        <v>139</v>
      </c>
      <c r="AS45" s="207">
        <v>20</v>
      </c>
      <c r="AT45" s="207" t="s">
        <v>244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3.9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65"/>
      <c r="G46" s="366">
        <f t="shared" ca="1" si="1"/>
        <v>28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289</v>
      </c>
      <c r="AR46" s="207" t="s">
        <v>140</v>
      </c>
      <c r="AS46" s="207">
        <v>19</v>
      </c>
      <c r="AT46" s="207" t="s">
        <v>290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9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65"/>
      <c r="G47" s="366">
        <f t="shared" ca="1" si="1"/>
        <v>35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305</v>
      </c>
      <c r="AR47" s="207" t="s">
        <v>142</v>
      </c>
      <c r="AS47" s="207">
        <v>17</v>
      </c>
      <c r="AT47" s="207" t="s">
        <v>306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9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65"/>
      <c r="G48" s="366">
        <f t="shared" ca="1" si="1"/>
        <v>37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347</v>
      </c>
      <c r="AR48" s="207" t="s">
        <v>140</v>
      </c>
      <c r="AS48" s="207">
        <v>19</v>
      </c>
      <c r="AT48" s="207" t="s">
        <v>348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9">
      <c r="A49" s="223" t="s">
        <v>301</v>
      </c>
      <c r="B49" s="224" t="s">
        <v>141</v>
      </c>
      <c r="C49" s="224">
        <v>18</v>
      </c>
      <c r="D49" s="224" t="s">
        <v>302</v>
      </c>
      <c r="E49" s="225" t="str">
        <f t="shared" ca="1" si="8"/>
        <v>R</v>
      </c>
      <c r="F49" s="365"/>
      <c r="G49" s="366">
        <f t="shared" ca="1" si="1"/>
        <v>39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291</v>
      </c>
      <c r="AR49" s="207" t="s">
        <v>140</v>
      </c>
      <c r="AS49" s="207">
        <v>19</v>
      </c>
      <c r="AT49" s="207" t="s">
        <v>292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9">
      <c r="A50" s="223" t="s">
        <v>303</v>
      </c>
      <c r="B50" s="224" t="s">
        <v>141</v>
      </c>
      <c r="C50" s="224">
        <v>18</v>
      </c>
      <c r="D50" s="224" t="s">
        <v>304</v>
      </c>
      <c r="E50" s="225" t="str">
        <f t="shared" ca="1" si="8"/>
        <v>R</v>
      </c>
      <c r="F50" s="365"/>
      <c r="G50" s="366">
        <f t="shared" ca="1" si="1"/>
        <v>41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293</v>
      </c>
      <c r="AR50" s="207" t="s">
        <v>139</v>
      </c>
      <c r="AS50" s="207">
        <v>20</v>
      </c>
      <c r="AT50" s="207" t="s">
        <v>294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3.9">
      <c r="A51" s="223" t="s">
        <v>285</v>
      </c>
      <c r="B51" s="224" t="s">
        <v>141</v>
      </c>
      <c r="C51" s="224">
        <v>18</v>
      </c>
      <c r="D51" s="224" t="s">
        <v>286</v>
      </c>
      <c r="E51" s="225" t="str">
        <f t="shared" ca="1" si="8"/>
        <v>R</v>
      </c>
      <c r="F51" s="365"/>
      <c r="G51" s="366">
        <f t="shared" ca="1" si="1"/>
        <v>42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369</v>
      </c>
      <c r="AR51" s="207" t="s">
        <v>140</v>
      </c>
      <c r="AS51" s="207">
        <v>19</v>
      </c>
      <c r="AT51" s="207" t="s">
        <v>375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9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65"/>
      <c r="G52" s="366">
        <f t="shared" ca="1" si="1"/>
        <v>49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389</v>
      </c>
      <c r="AR52" s="207" t="s">
        <v>141</v>
      </c>
      <c r="AS52" s="207">
        <v>18</v>
      </c>
      <c r="AT52" s="207" t="s">
        <v>390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9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65"/>
      <c r="G53" s="366">
        <f t="shared" ca="1" si="1"/>
        <v>25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295</v>
      </c>
      <c r="AR53" s="207" t="s">
        <v>140</v>
      </c>
      <c r="AS53" s="207">
        <v>19</v>
      </c>
      <c r="AT53" s="207" t="s">
        <v>376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9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65"/>
      <c r="G54" s="366">
        <f t="shared" ca="1" si="1"/>
        <v>27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2</v>
      </c>
      <c r="AW54" s="168">
        <f>COUNTIF( AV$7:AV54, AV54 )</f>
        <v>11</v>
      </c>
      <c r="AX54" s="208">
        <f t="shared" si="22"/>
        <v>3.1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9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65"/>
      <c r="G55" s="366">
        <f t="shared" ca="1" si="1"/>
        <v>61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9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65"/>
      <c r="G56" s="366">
        <f t="shared" ca="1" si="1"/>
        <v>59</v>
      </c>
      <c r="H56" s="367"/>
      <c r="I56" s="367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386</v>
      </c>
      <c r="AR56" s="207" t="s">
        <v>139</v>
      </c>
      <c r="AS56" s="207">
        <v>20</v>
      </c>
      <c r="AT56" s="207" t="s">
        <v>248</v>
      </c>
      <c r="AV56" s="168">
        <f t="shared" si="21"/>
        <v>2</v>
      </c>
      <c r="AW56" s="168">
        <f>COUNTIF( AV$7:AV56, AV56 )</f>
        <v>12</v>
      </c>
      <c r="AX56" s="208">
        <f t="shared" si="22"/>
        <v>3.2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9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65"/>
      <c r="G57" s="366">
        <f t="shared" ca="1" si="1"/>
        <v>57</v>
      </c>
      <c r="H57" s="367"/>
      <c r="I57" s="367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13</v>
      </c>
      <c r="AX57" s="208">
        <f t="shared" si="22"/>
        <v>3.3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9">
      <c r="A58" s="223"/>
      <c r="B58" s="224"/>
      <c r="C58" s="224"/>
      <c r="D58" s="224"/>
      <c r="E58" s="225" t="str">
        <f t="shared" ca="1" si="8"/>
        <v/>
      </c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65"/>
      <c r="G62" s="366">
        <f t="shared" ca="1" si="1"/>
        <v>58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18.826923076923077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18.807692307692307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-- 2015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Reg_Percent_2013</v>
      </c>
      <c r="G2" s="172" t="s">
        <v>391</v>
      </c>
      <c r="AJ2" s="173" t="str">
        <f>AJ4 &amp; AJ3</f>
        <v>'Credit_2015Q1'!d:d</v>
      </c>
      <c r="AK2" s="173" t="str">
        <f>AK4 &amp; AK3</f>
        <v>'Credit_2015Q1'!b1</v>
      </c>
      <c r="AL2" s="173" t="str">
        <f>AL4 &amp; AL3</f>
        <v>'Credit_2015Q1'!c1</v>
      </c>
      <c r="AQ2" s="169"/>
    </row>
    <row r="3" spans="1:61" ht="18" hidden="1" outlineLevel="1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'Credit_2015Q1'!</v>
      </c>
      <c r="AK4" s="169" t="str">
        <f t="shared" ref="AK4:AL4" si="0">$AQ$5</f>
        <v>'Credit_2015Q1'!</v>
      </c>
      <c r="AL4" s="169" t="str">
        <f t="shared" si="0"/>
        <v>'Credit_2015Q1'!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(52)</v>
      </c>
      <c r="M5" s="359"/>
      <c r="N5" s="230"/>
      <c r="O5" s="357" t="str">
        <f ca="1">"Regulated" &amp; CHAR( 10 ) &amp; "(" &amp; O14 &amp; ")"</f>
        <v>Regulated
(37)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392</v>
      </c>
    </row>
    <row r="6" spans="1:61" ht="28.5" customHeight="1">
      <c r="A6" s="219" t="s">
        <v>212</v>
      </c>
      <c r="B6" s="220" t="s">
        <v>61</v>
      </c>
      <c r="C6" s="249" t="s">
        <v>214</v>
      </c>
      <c r="D6" s="221"/>
      <c r="E6" s="222">
        <f ca="1">INDIRECT( E3 &amp; G1 )</f>
        <v>41639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235</v>
      </c>
      <c r="B7" s="224" t="s">
        <v>166</v>
      </c>
      <c r="C7" s="224">
        <v>21</v>
      </c>
      <c r="D7" s="224" t="s">
        <v>236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34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12</v>
      </c>
      <c r="AK7" s="169" t="str">
        <f ca="1">IF( ISNA( $AJ7 ), "", OFFSET( INDIRECT( AK$2 ), $AJ7-1, 0 ) )</f>
        <v>A-</v>
      </c>
      <c r="AL7" s="169">
        <f ca="1">IF( ISNA( $AJ7 ), "", OFFSET( INDIRECT( AL$2 ), $AJ7-1, 0 ) )</f>
        <v>20</v>
      </c>
      <c r="AM7" s="169" t="str">
        <f t="shared" ref="AM7:AM67" ca="1" si="4">IF( B7 = AK7, "", "Change" )</f>
        <v>Change</v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9">
      <c r="A8" s="223" t="s">
        <v>293</v>
      </c>
      <c r="B8" s="224" t="s">
        <v>166</v>
      </c>
      <c r="C8" s="224">
        <v>21</v>
      </c>
      <c r="D8" s="224" t="s">
        <v>294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47</v>
      </c>
      <c r="H8" s="367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5.7692307692307696E-2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5.4054054054054057E-2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68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44</v>
      </c>
      <c r="BF8" s="173" t="str">
        <f t="shared" ca="1" si="7"/>
        <v>Southern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SO</v>
      </c>
    </row>
    <row r="9" spans="1:61" ht="13.9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65"/>
      <c r="G9" s="366">
        <f t="shared" ca="1" si="1"/>
        <v>8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0.23076923076923078</v>
      </c>
      <c r="N9" s="234"/>
      <c r="O9" s="215">
        <f t="shared" ca="1" si="11"/>
        <v>7</v>
      </c>
      <c r="P9" s="216">
        <f t="shared" ca="1" si="12"/>
        <v>0.1891891891891892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9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65"/>
      <c r="G10" s="366">
        <f t="shared" ca="1" si="1"/>
        <v>13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8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9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65"/>
      <c r="G11" s="366">
        <f t="shared" ca="1" si="1"/>
        <v>16</v>
      </c>
      <c r="H11" s="367"/>
      <c r="I11" s="234"/>
      <c r="J11" s="215" t="s">
        <v>141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11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9">
      <c r="A12" s="223" t="s">
        <v>361</v>
      </c>
      <c r="B12" s="224" t="s">
        <v>139</v>
      </c>
      <c r="C12" s="224">
        <v>20</v>
      </c>
      <c r="D12" s="224" t="s">
        <v>194</v>
      </c>
      <c r="E12" s="225" t="str">
        <f t="shared" ca="1" si="8"/>
        <v>MR</v>
      </c>
      <c r="F12" s="365"/>
      <c r="G12" s="366">
        <f t="shared" ca="1" si="1"/>
        <v>17</v>
      </c>
      <c r="H12" s="367"/>
      <c r="I12" s="234"/>
      <c r="J12" s="215" t="s">
        <v>142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Dominion Resources,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</v>
      </c>
    </row>
    <row r="13" spans="1:61" ht="13.9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65"/>
      <c r="G13" s="366">
        <f t="shared" ca="1" si="1"/>
        <v>19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8"/>
        <v/>
      </c>
      <c r="AJ13" s="169">
        <f t="shared" ca="1" si="19"/>
        <v>26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4"/>
        <v>Change</v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15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18.826923076923077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3</v>
      </c>
      <c r="AW14" s="168">
        <f>COUNTIF( AV$7:AV14, AV14 )</f>
        <v>2</v>
      </c>
      <c r="AX14" s="208">
        <f t="shared" si="22"/>
        <v>3.2</v>
      </c>
      <c r="AY14" s="168">
        <f t="shared" si="23"/>
        <v>4</v>
      </c>
      <c r="AZ14" s="169"/>
      <c r="BA14" s="169"/>
      <c r="BC14" s="168">
        <f t="shared" ca="1" si="24"/>
        <v>8</v>
      </c>
      <c r="BD14" s="209">
        <f t="shared" ca="1" si="6"/>
        <v>29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36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32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18.846153846153847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18.675675675675677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19.46153846153846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36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MR</v>
      </c>
      <c r="F17" s="365"/>
      <c r="G17" s="366">
        <f t="shared" ca="1" si="1"/>
        <v>43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>
        <f t="shared" ca="1" si="3"/>
        <v>1</v>
      </c>
      <c r="AH17" s="169" t="str">
        <f t="shared" ca="1" si="18"/>
        <v/>
      </c>
      <c r="AJ17" s="169">
        <f t="shared" ca="1" si="19"/>
        <v>51</v>
      </c>
      <c r="AK17" s="169" t="str">
        <f t="shared" ca="1" si="20"/>
        <v>BBB</v>
      </c>
      <c r="AL17" s="169">
        <f t="shared" ca="1" si="20"/>
        <v>18</v>
      </c>
      <c r="AM17" s="169" t="str">
        <f t="shared" ca="1" si="4"/>
        <v>Change</v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3</v>
      </c>
      <c r="AW17" s="168">
        <f>COUNTIF( AV$7:AV17, AV17 )</f>
        <v>3</v>
      </c>
      <c r="AX17" s="208">
        <f t="shared" si="22"/>
        <v>3.3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6"/>
        <v>39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9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MR</v>
      </c>
      <c r="F18" s="365"/>
      <c r="G18" s="366">
        <f t="shared" ca="1" si="1"/>
        <v>52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9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65"/>
      <c r="G19" s="366">
        <f t="shared" ca="1" si="1"/>
        <v>54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9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65"/>
      <c r="G20" s="366">
        <f t="shared" ca="1" si="1"/>
        <v>55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9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R</v>
      </c>
      <c r="F21" s="365"/>
      <c r="G21" s="366">
        <f t="shared" ca="1" si="1"/>
        <v>7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139</v>
      </c>
      <c r="AS21" s="207">
        <v>20</v>
      </c>
      <c r="AT21" s="207" t="s">
        <v>264</v>
      </c>
      <c r="AV21" s="168">
        <f t="shared" si="21"/>
        <v>3</v>
      </c>
      <c r="AW21" s="168">
        <f>COUNTIF( AV$7:AV21, AV21 )</f>
        <v>5</v>
      </c>
      <c r="AX21" s="208">
        <f t="shared" si="22"/>
        <v>3.5</v>
      </c>
      <c r="AY21" s="168">
        <f t="shared" si="23"/>
        <v>7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9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65"/>
      <c r="G22" s="366">
        <f t="shared" ca="1" si="1"/>
        <v>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9">
      <c r="A23" s="223" t="s">
        <v>215</v>
      </c>
      <c r="B23" s="224" t="s">
        <v>140</v>
      </c>
      <c r="C23" s="224">
        <v>19</v>
      </c>
      <c r="D23" s="224" t="s">
        <v>216</v>
      </c>
      <c r="E23" s="225" t="str">
        <f t="shared" ca="1" si="8"/>
        <v>MR</v>
      </c>
      <c r="F23" s="365"/>
      <c r="G23" s="366">
        <f t="shared" ca="1" si="1"/>
        <v>61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9">
      <c r="A24" s="223" t="s">
        <v>254</v>
      </c>
      <c r="B24" s="224" t="s">
        <v>140</v>
      </c>
      <c r="C24" s="224">
        <v>19</v>
      </c>
      <c r="D24" s="224" t="s">
        <v>378</v>
      </c>
      <c r="E24" s="225" t="str">
        <f t="shared" ca="1" si="8"/>
        <v>R</v>
      </c>
      <c r="F24" s="365"/>
      <c r="G24" s="366">
        <f t="shared" ca="1" si="1"/>
        <v>14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9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65"/>
      <c r="G25" s="366">
        <f t="shared" ca="1" si="1"/>
        <v>15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9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65"/>
      <c r="G26" s="366">
        <f t="shared" ca="1" si="1"/>
        <v>18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20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26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65"/>
      <c r="G29" s="366">
        <f t="shared" ca="1" si="1"/>
        <v>30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MR</v>
      </c>
      <c r="F30" s="365"/>
      <c r="G30" s="366">
        <f t="shared" ca="1" si="1"/>
        <v>33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>
        <f t="shared" ca="1" si="3"/>
        <v>1</v>
      </c>
      <c r="AH30" s="169" t="str">
        <f t="shared" ca="1" si="18"/>
        <v/>
      </c>
      <c r="AJ30" s="169">
        <f t="shared" ca="1" si="19"/>
        <v>55</v>
      </c>
      <c r="AK30" s="169" t="str">
        <f t="shared" ca="1" si="20"/>
        <v>BBB-</v>
      </c>
      <c r="AL30" s="169">
        <f t="shared" ca="1" si="20"/>
        <v>17</v>
      </c>
      <c r="AM30" s="169" t="str">
        <f t="shared" ca="1" si="4"/>
        <v>Change</v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9">
      <c r="A31" s="223" t="s">
        <v>382</v>
      </c>
      <c r="B31" s="224" t="s">
        <v>140</v>
      </c>
      <c r="C31" s="224">
        <v>19</v>
      </c>
      <c r="D31" s="224" t="s">
        <v>383</v>
      </c>
      <c r="E31" s="225" t="str">
        <f t="shared" ca="1" si="8"/>
        <v>R</v>
      </c>
      <c r="F31" s="365"/>
      <c r="G31" s="366">
        <f t="shared" ca="1" si="1"/>
        <v>38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9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65"/>
      <c r="G32" s="366">
        <f t="shared" ca="1" si="1"/>
        <v>44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9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65"/>
      <c r="G33" s="366">
        <f t="shared" ca="1" si="1"/>
        <v>45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65"/>
      <c r="G34" s="366">
        <f t="shared" ca="1" si="1"/>
        <v>46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9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65"/>
      <c r="G35" s="366">
        <f t="shared" ca="1" si="1"/>
        <v>48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6</v>
      </c>
      <c r="AX35" s="208">
        <f t="shared" si="22"/>
        <v>3.6</v>
      </c>
      <c r="AY35" s="168">
        <f t="shared" si="23"/>
        <v>8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9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65"/>
      <c r="G36" s="366">
        <f t="shared" ca="1" si="1"/>
        <v>50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9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65"/>
      <c r="G37" s="366">
        <f t="shared" ca="1" si="1"/>
        <v>53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9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65"/>
      <c r="G38" s="366">
        <f t="shared" ca="1" si="1"/>
        <v>10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7</v>
      </c>
      <c r="AX38" s="208">
        <f t="shared" si="22"/>
        <v>3.7</v>
      </c>
      <c r="AY38" s="168">
        <f t="shared" si="23"/>
        <v>9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9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65"/>
      <c r="G39" s="366">
        <f t="shared" ca="1" si="1"/>
        <v>11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9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65"/>
      <c r="G40" s="366">
        <f t="shared" ca="1" si="1"/>
        <v>12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382</v>
      </c>
      <c r="AR40" s="207" t="s">
        <v>140</v>
      </c>
      <c r="AS40" s="207">
        <v>19</v>
      </c>
      <c r="AT40" s="207" t="s">
        <v>383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9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65"/>
      <c r="G41" s="366">
        <f t="shared" ca="1" si="1"/>
        <v>21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301</v>
      </c>
      <c r="AR41" s="207" t="s">
        <v>141</v>
      </c>
      <c r="AS41" s="207">
        <v>18</v>
      </c>
      <c r="AT41" s="207" t="s">
        <v>302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9">
      <c r="A42" s="223" t="s">
        <v>367</v>
      </c>
      <c r="B42" s="224" t="s">
        <v>141</v>
      </c>
      <c r="C42" s="224">
        <v>18</v>
      </c>
      <c r="D42" s="224" t="s">
        <v>368</v>
      </c>
      <c r="E42" s="225" t="str">
        <f t="shared" ca="1" si="8"/>
        <v>R</v>
      </c>
      <c r="F42" s="365"/>
      <c r="G42" s="366">
        <f t="shared" ca="1" si="1"/>
        <v>22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281</v>
      </c>
      <c r="AR42" s="207" t="s">
        <v>139</v>
      </c>
      <c r="AS42" s="207">
        <v>20</v>
      </c>
      <c r="AT42" s="207" t="s">
        <v>282</v>
      </c>
      <c r="AV42" s="168">
        <f t="shared" si="21"/>
        <v>3</v>
      </c>
      <c r="AW42" s="168">
        <f>COUNTIF( AV$7:AV42, AV42 )</f>
        <v>8</v>
      </c>
      <c r="AX42" s="208">
        <f t="shared" si="22"/>
        <v>3.8</v>
      </c>
      <c r="AY42" s="168">
        <f t="shared" si="23"/>
        <v>10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9">
      <c r="A43" s="223" t="s">
        <v>267</v>
      </c>
      <c r="B43" s="224" t="s">
        <v>141</v>
      </c>
      <c r="C43" s="224">
        <v>18</v>
      </c>
      <c r="D43" s="224" t="s">
        <v>268</v>
      </c>
      <c r="E43" s="225" t="str">
        <f t="shared" ca="1" si="8"/>
        <v>R</v>
      </c>
      <c r="F43" s="365"/>
      <c r="G43" s="366">
        <f t="shared" ca="1" si="1"/>
        <v>23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303</v>
      </c>
      <c r="AR43" s="207" t="s">
        <v>141</v>
      </c>
      <c r="AS43" s="207">
        <v>18</v>
      </c>
      <c r="AT43" s="207" t="s">
        <v>304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9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65"/>
      <c r="G44" s="366">
        <f t="shared" ca="1" si="1"/>
        <v>24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285</v>
      </c>
      <c r="AR44" s="207" t="s">
        <v>141</v>
      </c>
      <c r="AS44" s="207">
        <v>18</v>
      </c>
      <c r="AT44" s="207" t="s">
        <v>286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9">
      <c r="A45" s="223" t="s">
        <v>387</v>
      </c>
      <c r="B45" s="224" t="s">
        <v>141</v>
      </c>
      <c r="C45" s="224">
        <v>18</v>
      </c>
      <c r="D45" s="224" t="s">
        <v>388</v>
      </c>
      <c r="E45" s="225" t="str">
        <f t="shared" ca="1" si="8"/>
        <v>R</v>
      </c>
      <c r="F45" s="365"/>
      <c r="G45" s="366">
        <f t="shared" ca="1" si="1"/>
        <v>57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243</v>
      </c>
      <c r="AR45" s="207" t="s">
        <v>139</v>
      </c>
      <c r="AS45" s="207">
        <v>20</v>
      </c>
      <c r="AT45" s="207" t="s">
        <v>244</v>
      </c>
      <c r="AV45" s="168">
        <f t="shared" si="21"/>
        <v>3</v>
      </c>
      <c r="AW45" s="168">
        <f>COUNTIF( AV$7:AV45, AV45 )</f>
        <v>9</v>
      </c>
      <c r="AX45" s="208">
        <f t="shared" si="22"/>
        <v>3.9</v>
      </c>
      <c r="AY45" s="168">
        <f t="shared" si="23"/>
        <v>11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3.9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65"/>
      <c r="G46" s="366">
        <f t="shared" ca="1" si="1"/>
        <v>28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289</v>
      </c>
      <c r="AR46" s="207" t="s">
        <v>140</v>
      </c>
      <c r="AS46" s="207">
        <v>19</v>
      </c>
      <c r="AT46" s="207" t="s">
        <v>290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9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65"/>
      <c r="G47" s="366">
        <f t="shared" ca="1" si="1"/>
        <v>35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305</v>
      </c>
      <c r="AR47" s="207" t="s">
        <v>142</v>
      </c>
      <c r="AS47" s="207">
        <v>17</v>
      </c>
      <c r="AT47" s="207" t="s">
        <v>306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9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65"/>
      <c r="G48" s="366">
        <f t="shared" ca="1" si="1"/>
        <v>37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347</v>
      </c>
      <c r="AR48" s="207" t="s">
        <v>140</v>
      </c>
      <c r="AS48" s="207">
        <v>19</v>
      </c>
      <c r="AT48" s="207" t="s">
        <v>348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9">
      <c r="A49" s="223" t="s">
        <v>301</v>
      </c>
      <c r="B49" s="224" t="s">
        <v>141</v>
      </c>
      <c r="C49" s="224">
        <v>18</v>
      </c>
      <c r="D49" s="224" t="s">
        <v>302</v>
      </c>
      <c r="E49" s="225" t="str">
        <f t="shared" ca="1" si="8"/>
        <v>R</v>
      </c>
      <c r="F49" s="365"/>
      <c r="G49" s="366">
        <f t="shared" ca="1" si="1"/>
        <v>39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291</v>
      </c>
      <c r="AR49" s="207" t="s">
        <v>140</v>
      </c>
      <c r="AS49" s="207">
        <v>19</v>
      </c>
      <c r="AT49" s="207" t="s">
        <v>292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9">
      <c r="A50" s="223" t="s">
        <v>303</v>
      </c>
      <c r="B50" s="224" t="s">
        <v>141</v>
      </c>
      <c r="C50" s="224">
        <v>18</v>
      </c>
      <c r="D50" s="224" t="s">
        <v>304</v>
      </c>
      <c r="E50" s="225" t="str">
        <f t="shared" ca="1" si="8"/>
        <v>R</v>
      </c>
      <c r="F50" s="365"/>
      <c r="G50" s="366">
        <f t="shared" ca="1" si="1"/>
        <v>41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293</v>
      </c>
      <c r="AR50" s="207" t="s">
        <v>166</v>
      </c>
      <c r="AS50" s="207">
        <v>21</v>
      </c>
      <c r="AT50" s="207" t="s">
        <v>294</v>
      </c>
      <c r="AV50" s="168">
        <f t="shared" si="21"/>
        <v>1</v>
      </c>
      <c r="AW50" s="168">
        <f>COUNTIF( AV$7:AV50, AV50 )</f>
        <v>2</v>
      </c>
      <c r="AX50" s="208">
        <f t="shared" si="22"/>
        <v>1.2</v>
      </c>
      <c r="AY50" s="168">
        <f t="shared" si="23"/>
        <v>2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3.9">
      <c r="A51" s="223" t="s">
        <v>285</v>
      </c>
      <c r="B51" s="224" t="s">
        <v>141</v>
      </c>
      <c r="C51" s="224">
        <v>18</v>
      </c>
      <c r="D51" s="224" t="s">
        <v>286</v>
      </c>
      <c r="E51" s="225" t="str">
        <f t="shared" ca="1" si="8"/>
        <v>R</v>
      </c>
      <c r="F51" s="365"/>
      <c r="G51" s="366">
        <f t="shared" ca="1" si="1"/>
        <v>42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369</v>
      </c>
      <c r="AR51" s="207" t="s">
        <v>140</v>
      </c>
      <c r="AS51" s="207">
        <v>19</v>
      </c>
      <c r="AT51" s="207" t="s">
        <v>375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9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65"/>
      <c r="G52" s="366">
        <f t="shared" ca="1" si="1"/>
        <v>49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389</v>
      </c>
      <c r="AR52" s="207" t="s">
        <v>141</v>
      </c>
      <c r="AS52" s="207">
        <v>18</v>
      </c>
      <c r="AT52" s="207" t="s">
        <v>390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9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65"/>
      <c r="G53" s="366">
        <f t="shared" ca="1" si="1"/>
        <v>25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295</v>
      </c>
      <c r="AR53" s="207" t="s">
        <v>140</v>
      </c>
      <c r="AS53" s="207">
        <v>19</v>
      </c>
      <c r="AT53" s="207" t="s">
        <v>376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9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65"/>
      <c r="G54" s="366">
        <f t="shared" ca="1" si="1"/>
        <v>27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3</v>
      </c>
      <c r="AW54" s="168">
        <f>COUNTIF( AV$7:AV54, AV54 )</f>
        <v>10</v>
      </c>
      <c r="AX54" s="208">
        <f t="shared" si="22"/>
        <v>4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9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65"/>
      <c r="G55" s="366">
        <f t="shared" ca="1" si="1"/>
        <v>62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9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65"/>
      <c r="G56" s="366">
        <f t="shared" ca="1" si="1"/>
        <v>60</v>
      </c>
      <c r="H56" s="367"/>
      <c r="I56" s="367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247</v>
      </c>
      <c r="AR56" s="207" t="s">
        <v>139</v>
      </c>
      <c r="AS56" s="207">
        <v>20</v>
      </c>
      <c r="AT56" s="207" t="s">
        <v>248</v>
      </c>
      <c r="AV56" s="168">
        <f t="shared" si="21"/>
        <v>3</v>
      </c>
      <c r="AW56" s="168">
        <f>COUNTIF( AV$7:AV56, AV56 )</f>
        <v>11</v>
      </c>
      <c r="AX56" s="208">
        <f t="shared" si="22"/>
        <v>4.0999999999999996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9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65"/>
      <c r="G57" s="366">
        <f t="shared" ca="1" si="1"/>
        <v>58</v>
      </c>
      <c r="H57" s="367"/>
      <c r="I57" s="367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3</v>
      </c>
      <c r="AW57" s="168">
        <f>COUNTIF( AV$7:AV57, AV57 )</f>
        <v>12</v>
      </c>
      <c r="AX57" s="208">
        <f t="shared" si="22"/>
        <v>4.2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9">
      <c r="A58" s="223"/>
      <c r="B58" s="224"/>
      <c r="C58" s="224"/>
      <c r="D58" s="224"/>
      <c r="E58" s="225" t="str">
        <f t="shared" ca="1" si="8"/>
        <v/>
      </c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65"/>
      <c r="G62" s="366">
        <f t="shared" ca="1" si="1"/>
        <v>59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18.846153846153847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18.826923076923077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-- 2015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Reg_Percent_2013</v>
      </c>
      <c r="G2" s="172" t="s">
        <v>391</v>
      </c>
      <c r="AJ2" s="173" t="str">
        <f>AJ4 &amp; AJ3</f>
        <v>'Credit_2014Q4'!d:d</v>
      </c>
      <c r="AK2" s="173" t="str">
        <f>AK4 &amp; AK3</f>
        <v>'Credit_2014Q4'!b1</v>
      </c>
      <c r="AL2" s="173" t="str">
        <f>AL4 &amp; AL3</f>
        <v>'Credit_2014Q4'!c1</v>
      </c>
      <c r="AQ2" s="169"/>
    </row>
    <row r="3" spans="1:61" ht="18" hidden="1" outlineLevel="1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'Credit_2014Q4'!</v>
      </c>
      <c r="AK4" s="169" t="str">
        <f t="shared" ref="AK4:AL4" si="0">$AQ$5</f>
        <v>'Credit_2014Q4'!</v>
      </c>
      <c r="AL4" s="169" t="str">
        <f t="shared" si="0"/>
        <v>'Credit_2014Q4'!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(53)</v>
      </c>
      <c r="M5" s="359"/>
      <c r="N5" s="230"/>
      <c r="O5" s="357" t="str">
        <f ca="1">"Regulated" &amp; CHAR( 10 ) &amp; "(" &amp; O14 &amp; ")"</f>
        <v>Regulated
(38)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393</v>
      </c>
    </row>
    <row r="6" spans="1:61" ht="28.5" customHeight="1">
      <c r="A6" s="219" t="s">
        <v>212</v>
      </c>
      <c r="B6" s="220" t="s">
        <v>60</v>
      </c>
      <c r="C6" s="249" t="s">
        <v>214</v>
      </c>
      <c r="D6" s="221"/>
      <c r="E6" s="222">
        <f ca="1">INDIRECT( E3 &amp; G1 )</f>
        <v>41639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47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9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8"/>
        <v>R</v>
      </c>
      <c r="F12" s="365"/>
      <c r="G12" s="366">
        <f t="shared" ca="1" si="1"/>
        <v>34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3.9">
      <c r="A13" s="223" t="s">
        <v>395</v>
      </c>
      <c r="B13" s="224" t="s">
        <v>139</v>
      </c>
      <c r="C13" s="224">
        <v>20</v>
      </c>
      <c r="D13" s="224" t="s">
        <v>396</v>
      </c>
      <c r="E13" s="225" t="str">
        <f t="shared" ca="1" si="8"/>
        <v>R</v>
      </c>
      <c r="F13" s="365"/>
      <c r="G13" s="366">
        <f t="shared" ca="1" si="1"/>
        <v>29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36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18.754716981132077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18.657894736842106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19.153846153846153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65"/>
      <c r="G17" s="366">
        <f t="shared" ca="1" si="1"/>
        <v>52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54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55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65"/>
      <c r="G22" s="366">
        <f t="shared" ca="1" si="1"/>
        <v>61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9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65"/>
      <c r="G24" s="366">
        <f t="shared" ca="1" si="1"/>
        <v>15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9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8"/>
        <v>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3.9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8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394</v>
      </c>
      <c r="AR26" s="207" t="s">
        <v>139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20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26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65"/>
      <c r="G29" s="366">
        <f t="shared" ca="1" si="1"/>
        <v>30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382</v>
      </c>
      <c r="B30" s="224" t="s">
        <v>140</v>
      </c>
      <c r="C30" s="224">
        <v>19</v>
      </c>
      <c r="D30" s="224" t="s">
        <v>383</v>
      </c>
      <c r="E30" s="225" t="str">
        <f t="shared" ca="1" si="8"/>
        <v>R</v>
      </c>
      <c r="F30" s="365"/>
      <c r="G30" s="366">
        <f t="shared" ca="1" si="1"/>
        <v>38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3.9">
      <c r="A31" s="223" t="s">
        <v>289</v>
      </c>
      <c r="B31" s="224" t="s">
        <v>140</v>
      </c>
      <c r="C31" s="224">
        <v>19</v>
      </c>
      <c r="D31" s="224" t="s">
        <v>290</v>
      </c>
      <c r="E31" s="225" t="str">
        <f t="shared" ca="1" si="8"/>
        <v>MR</v>
      </c>
      <c r="F31" s="365"/>
      <c r="G31" s="366">
        <f t="shared" ca="1" si="1"/>
        <v>44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3.9">
      <c r="A32" s="223" t="s">
        <v>347</v>
      </c>
      <c r="B32" s="224" t="s">
        <v>140</v>
      </c>
      <c r="C32" s="224">
        <v>19</v>
      </c>
      <c r="D32" s="224" t="s">
        <v>348</v>
      </c>
      <c r="E32" s="225" t="str">
        <f t="shared" ca="1" si="8"/>
        <v>MR</v>
      </c>
      <c r="F32" s="365"/>
      <c r="G32" s="366">
        <f t="shared" ca="1" si="1"/>
        <v>45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3.9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8"/>
        <v>MR</v>
      </c>
      <c r="F33" s="365"/>
      <c r="G33" s="366">
        <f t="shared" ca="1" si="1"/>
        <v>46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395</v>
      </c>
      <c r="AR33" s="207" t="s">
        <v>139</v>
      </c>
      <c r="AS33" s="207">
        <v>20</v>
      </c>
      <c r="AT33" s="207" t="s">
        <v>396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3.9">
      <c r="A34" s="223" t="s">
        <v>369</v>
      </c>
      <c r="B34" s="224" t="s">
        <v>140</v>
      </c>
      <c r="C34" s="224">
        <v>19</v>
      </c>
      <c r="D34" s="224" t="s">
        <v>375</v>
      </c>
      <c r="E34" s="225" t="str">
        <f t="shared" ca="1" si="8"/>
        <v>R</v>
      </c>
      <c r="F34" s="365"/>
      <c r="G34" s="366">
        <f t="shared" ca="1" si="1"/>
        <v>48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287</v>
      </c>
      <c r="AR34" s="207" t="s">
        <v>173</v>
      </c>
      <c r="AS34" s="207">
        <v>16</v>
      </c>
      <c r="AT34" s="207" t="s">
        <v>288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8"/>
        <v>R</v>
      </c>
      <c r="F35" s="365"/>
      <c r="G35" s="366">
        <f t="shared" ca="1" si="1"/>
        <v>50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271</v>
      </c>
      <c r="AR35" s="207" t="s">
        <v>140</v>
      </c>
      <c r="AS35" s="207">
        <v>19</v>
      </c>
      <c r="AT35" s="207" t="s">
        <v>272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*UTL</v>
      </c>
    </row>
    <row r="36" spans="1:61" ht="13.9">
      <c r="A36" s="223" t="s">
        <v>354</v>
      </c>
      <c r="B36" s="224" t="s">
        <v>140</v>
      </c>
      <c r="C36" s="224">
        <v>19</v>
      </c>
      <c r="D36" s="224" t="s">
        <v>355</v>
      </c>
      <c r="E36" s="225" t="str">
        <f t="shared" ca="1" si="8"/>
        <v>R</v>
      </c>
      <c r="F36" s="365"/>
      <c r="G36" s="366">
        <f t="shared" ca="1" si="1"/>
        <v>53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3.9">
      <c r="A37" s="223" t="s">
        <v>222</v>
      </c>
      <c r="B37" s="224" t="s">
        <v>141</v>
      </c>
      <c r="C37" s="224">
        <v>18</v>
      </c>
      <c r="D37" s="224" t="s">
        <v>223</v>
      </c>
      <c r="E37" s="225" t="str">
        <f t="shared" ca="1" si="8"/>
        <v>R</v>
      </c>
      <c r="F37" s="365"/>
      <c r="G37" s="366">
        <f t="shared" ca="1" si="1"/>
        <v>10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11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245</v>
      </c>
      <c r="B39" s="224" t="s">
        <v>141</v>
      </c>
      <c r="C39" s="224">
        <v>18</v>
      </c>
      <c r="D39" s="224" t="s">
        <v>246</v>
      </c>
      <c r="E39" s="225" t="str">
        <f t="shared" ca="1" si="8"/>
        <v>R</v>
      </c>
      <c r="F39" s="365"/>
      <c r="G39" s="366">
        <f t="shared" ca="1" si="1"/>
        <v>12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367</v>
      </c>
      <c r="B41" s="224" t="s">
        <v>141</v>
      </c>
      <c r="C41" s="224">
        <v>18</v>
      </c>
      <c r="D41" s="224" t="s">
        <v>368</v>
      </c>
      <c r="E41" s="225" t="str">
        <f t="shared" ca="1" si="8"/>
        <v>R</v>
      </c>
      <c r="F41" s="365"/>
      <c r="G41" s="366">
        <f t="shared" ca="1" si="1"/>
        <v>22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3.9">
      <c r="A42" s="223" t="s">
        <v>267</v>
      </c>
      <c r="B42" s="224" t="s">
        <v>141</v>
      </c>
      <c r="C42" s="224">
        <v>18</v>
      </c>
      <c r="D42" s="224" t="s">
        <v>268</v>
      </c>
      <c r="E42" s="225" t="str">
        <f t="shared" ca="1" si="8"/>
        <v>R</v>
      </c>
      <c r="F42" s="365"/>
      <c r="G42" s="366">
        <f t="shared" ca="1" si="1"/>
        <v>23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3.9">
      <c r="A43" s="223" t="s">
        <v>269</v>
      </c>
      <c r="B43" s="224" t="s">
        <v>141</v>
      </c>
      <c r="C43" s="224">
        <v>18</v>
      </c>
      <c r="D43" s="224" t="s">
        <v>270</v>
      </c>
      <c r="E43" s="225" t="str">
        <f t="shared" ca="1" si="8"/>
        <v>MR</v>
      </c>
      <c r="F43" s="365"/>
      <c r="G43" s="366">
        <f t="shared" ca="1" si="1"/>
        <v>24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9">
      <c r="A44" s="223" t="s">
        <v>387</v>
      </c>
      <c r="B44" s="224" t="s">
        <v>141</v>
      </c>
      <c r="C44" s="224">
        <v>18</v>
      </c>
      <c r="D44" s="224" t="s">
        <v>388</v>
      </c>
      <c r="E44" s="225" t="str">
        <f t="shared" ca="1" si="8"/>
        <v>R</v>
      </c>
      <c r="F44" s="365"/>
      <c r="G44" s="366">
        <f t="shared" ca="1" si="1"/>
        <v>57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3.9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65"/>
      <c r="G45" s="366">
        <f t="shared" ca="1" si="1"/>
        <v>28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35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37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301</v>
      </c>
      <c r="B48" s="224" t="s">
        <v>141</v>
      </c>
      <c r="C48" s="224">
        <v>18</v>
      </c>
      <c r="D48" s="224" t="s">
        <v>302</v>
      </c>
      <c r="E48" s="225" t="str">
        <f t="shared" ca="1" si="8"/>
        <v>R</v>
      </c>
      <c r="F48" s="365"/>
      <c r="G48" s="366">
        <f t="shared" ca="1" si="1"/>
        <v>39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9">
      <c r="A49" s="223" t="s">
        <v>303</v>
      </c>
      <c r="B49" s="224" t="s">
        <v>141</v>
      </c>
      <c r="C49" s="224">
        <v>18</v>
      </c>
      <c r="D49" s="224" t="s">
        <v>304</v>
      </c>
      <c r="E49" s="225" t="str">
        <f t="shared" ca="1" si="8"/>
        <v>R</v>
      </c>
      <c r="F49" s="365"/>
      <c r="G49" s="366">
        <f t="shared" ca="1" si="1"/>
        <v>41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3.9">
      <c r="A50" s="223" t="s">
        <v>285</v>
      </c>
      <c r="B50" s="224" t="s">
        <v>141</v>
      </c>
      <c r="C50" s="224">
        <v>18</v>
      </c>
      <c r="D50" s="224" t="s">
        <v>286</v>
      </c>
      <c r="E50" s="225" t="str">
        <f t="shared" ca="1" si="8"/>
        <v>R</v>
      </c>
      <c r="F50" s="365"/>
      <c r="G50" s="366">
        <f t="shared" ca="1" si="1"/>
        <v>42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9">
      <c r="A51" s="223" t="s">
        <v>243</v>
      </c>
      <c r="B51" s="224" t="s">
        <v>141</v>
      </c>
      <c r="C51" s="224">
        <v>18</v>
      </c>
      <c r="D51" s="224" t="s">
        <v>244</v>
      </c>
      <c r="E51" s="225" t="str">
        <f t="shared" ca="1" si="8"/>
        <v>MR</v>
      </c>
      <c r="F51" s="365"/>
      <c r="G51" s="366">
        <f t="shared" ca="1" si="1"/>
        <v>43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3.9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65"/>
      <c r="G52" s="366">
        <f t="shared" ca="1" si="1"/>
        <v>49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9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65"/>
      <c r="G53" s="366">
        <f t="shared" ca="1" si="1"/>
        <v>25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9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65"/>
      <c r="G54" s="366">
        <f t="shared" ca="1" si="1"/>
        <v>27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295</v>
      </c>
      <c r="AR54" s="207" t="s">
        <v>140</v>
      </c>
      <c r="AS54" s="207">
        <v>19</v>
      </c>
      <c r="AT54" s="207" t="s">
        <v>376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9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8"/>
        <v>MR</v>
      </c>
      <c r="F55" s="365"/>
      <c r="G55" s="366">
        <f t="shared" ca="1" si="1"/>
        <v>33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3.9">
      <c r="A56" s="223" t="s">
        <v>305</v>
      </c>
      <c r="B56" s="224" t="s">
        <v>142</v>
      </c>
      <c r="C56" s="224">
        <v>17</v>
      </c>
      <c r="D56" s="224" t="s">
        <v>306</v>
      </c>
      <c r="E56" s="225" t="str">
        <f t="shared" ca="1" si="8"/>
        <v>R</v>
      </c>
      <c r="F56" s="365"/>
      <c r="G56" s="366">
        <f t="shared" ca="1" si="1"/>
        <v>62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354</v>
      </c>
      <c r="AR56" s="207" t="s">
        <v>140</v>
      </c>
      <c r="AS56" s="207">
        <v>19</v>
      </c>
      <c r="AT56" s="207" t="s">
        <v>355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3.9">
      <c r="A57" s="223" t="s">
        <v>287</v>
      </c>
      <c r="B57" s="224" t="s">
        <v>173</v>
      </c>
      <c r="C57" s="224">
        <v>16</v>
      </c>
      <c r="D57" s="224" t="s">
        <v>288</v>
      </c>
      <c r="E57" s="225" t="str">
        <f t="shared" ca="1" si="8"/>
        <v>R</v>
      </c>
      <c r="F57" s="365"/>
      <c r="G57" s="366">
        <f t="shared" ca="1" si="1"/>
        <v>60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3.9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8"/>
        <v>R</v>
      </c>
      <c r="F58" s="365"/>
      <c r="G58" s="366">
        <f t="shared" ca="1" si="1"/>
        <v>58</v>
      </c>
      <c r="H58" s="367"/>
      <c r="I58" s="367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65"/>
      <c r="G62" s="366">
        <f t="shared" ca="1" si="1"/>
        <v>59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18.735849056603772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-- 2014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Reg_Percent_2013</v>
      </c>
      <c r="G2" s="172" t="s">
        <v>391</v>
      </c>
      <c r="AJ2" s="173" t="str">
        <f>AJ4 &amp; AJ3</f>
        <v>'Credit_2014Q3'!d:d</v>
      </c>
      <c r="AK2" s="173" t="str">
        <f>AK4 &amp; AK3</f>
        <v>'Credit_2014Q3'!b1</v>
      </c>
      <c r="AL2" s="173" t="str">
        <f>AL4 &amp; AL3</f>
        <v>'Credit_2014Q3'!c1</v>
      </c>
      <c r="AQ2" s="169"/>
    </row>
    <row r="3" spans="1:61" ht="18" hidden="1" outlineLevel="1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'Credit_2014Q3'!</v>
      </c>
      <c r="AK4" s="169" t="str">
        <f t="shared" ref="AK4:AL4" si="0">$AQ$5</f>
        <v>'Credit_2014Q3'!</v>
      </c>
      <c r="AL4" s="169" t="str">
        <f t="shared" si="0"/>
        <v>'Credit_2014Q3'!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(53)</v>
      </c>
      <c r="M5" s="359"/>
      <c r="N5" s="230"/>
      <c r="O5" s="357" t="str">
        <f ca="1">"Regulated" &amp; CHAR( 10 ) &amp; "(" &amp; O14 &amp; ")"</f>
        <v>Regulated
(38)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397</v>
      </c>
    </row>
    <row r="6" spans="1:61" ht="28.5" customHeight="1">
      <c r="A6" s="219" t="s">
        <v>212</v>
      </c>
      <c r="B6" s="220" t="s">
        <v>59</v>
      </c>
      <c r="C6" s="249" t="s">
        <v>214</v>
      </c>
      <c r="D6" s="221"/>
      <c r="E6" s="222">
        <f ca="1">INDIRECT( E3 &amp; G1 )</f>
        <v>41639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65"/>
      <c r="G7" s="366">
        <f t="shared" ref="G7:G62" ca="1" si="1">IF( LEN( $D7 ) = 0, "", MATCH( $D7, INDIRECT( G$3 &amp; G$4 ), 0 ) )</f>
        <v>47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9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8"/>
        <v>R</v>
      </c>
      <c r="F12" s="365"/>
      <c r="G12" s="366">
        <f t="shared" ca="1" si="1"/>
        <v>34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3.9">
      <c r="A13" s="223" t="s">
        <v>395</v>
      </c>
      <c r="B13" s="224" t="s">
        <v>139</v>
      </c>
      <c r="C13" s="224">
        <v>20</v>
      </c>
      <c r="D13" s="224" t="s">
        <v>396</v>
      </c>
      <c r="E13" s="225" t="str">
        <f t="shared" ca="1" si="8"/>
        <v>R</v>
      </c>
      <c r="F13" s="365"/>
      <c r="G13" s="366">
        <f t="shared" ca="1" si="1"/>
        <v>29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65"/>
      <c r="G14" s="366">
        <f t="shared" ca="1" si="1"/>
        <v>32</v>
      </c>
      <c r="H14" s="367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36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18.754716981132077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18.657894736842106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19.153846153846153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65"/>
      <c r="G17" s="366">
        <f t="shared" ca="1" si="1"/>
        <v>52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54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55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65"/>
      <c r="G22" s="366">
        <f t="shared" ca="1" si="1"/>
        <v>61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9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9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65"/>
      <c r="G24" s="366">
        <f t="shared" ca="1" si="1"/>
        <v>15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>
        <f t="shared" ca="1" si="3"/>
        <v>1</v>
      </c>
      <c r="AH24" s="169" t="str">
        <f t="shared" ca="1" si="18"/>
        <v/>
      </c>
      <c r="AJ24" s="169">
        <f t="shared" ca="1" si="19"/>
        <v>38</v>
      </c>
      <c r="AK24" s="169" t="str">
        <f t="shared" ca="1" si="20"/>
        <v>BBB</v>
      </c>
      <c r="AL24" s="169">
        <f t="shared" ca="1" si="20"/>
        <v>18</v>
      </c>
      <c r="AM24" s="169" t="str">
        <f t="shared" ca="1" si="4"/>
        <v>Change</v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9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8"/>
        <v>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3.9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8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394</v>
      </c>
      <c r="AR26" s="207" t="s">
        <v>139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3.9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65"/>
      <c r="G27" s="366">
        <f t="shared" ca="1" si="1"/>
        <v>20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9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65"/>
      <c r="G28" s="366">
        <f t="shared" ca="1" si="1"/>
        <v>26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65"/>
      <c r="G29" s="366">
        <f t="shared" ca="1" si="1"/>
        <v>30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9">
      <c r="A30" s="223" t="s">
        <v>382</v>
      </c>
      <c r="B30" s="224" t="s">
        <v>140</v>
      </c>
      <c r="C30" s="224">
        <v>19</v>
      </c>
      <c r="D30" s="224" t="s">
        <v>383</v>
      </c>
      <c r="E30" s="225" t="str">
        <f t="shared" ca="1" si="8"/>
        <v>R</v>
      </c>
      <c r="F30" s="365"/>
      <c r="G30" s="366">
        <f t="shared" ca="1" si="1"/>
        <v>38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3.9">
      <c r="A31" s="223" t="s">
        <v>289</v>
      </c>
      <c r="B31" s="224" t="s">
        <v>140</v>
      </c>
      <c r="C31" s="224">
        <v>19</v>
      </c>
      <c r="D31" s="224" t="s">
        <v>290</v>
      </c>
      <c r="E31" s="225" t="str">
        <f t="shared" ca="1" si="8"/>
        <v>MR</v>
      </c>
      <c r="F31" s="365"/>
      <c r="G31" s="366">
        <f t="shared" ca="1" si="1"/>
        <v>44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3.9">
      <c r="A32" s="223" t="s">
        <v>347</v>
      </c>
      <c r="B32" s="224" t="s">
        <v>140</v>
      </c>
      <c r="C32" s="224">
        <v>19</v>
      </c>
      <c r="D32" s="224" t="s">
        <v>348</v>
      </c>
      <c r="E32" s="225" t="str">
        <f t="shared" ca="1" si="8"/>
        <v>MR</v>
      </c>
      <c r="F32" s="365"/>
      <c r="G32" s="366">
        <f t="shared" ca="1" si="1"/>
        <v>45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3.9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8"/>
        <v>MR</v>
      </c>
      <c r="F33" s="365"/>
      <c r="G33" s="366">
        <f t="shared" ca="1" si="1"/>
        <v>46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395</v>
      </c>
      <c r="AR33" s="207" t="s">
        <v>139</v>
      </c>
      <c r="AS33" s="207">
        <v>20</v>
      </c>
      <c r="AT33" s="207" t="s">
        <v>396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3.9">
      <c r="A34" s="223" t="s">
        <v>369</v>
      </c>
      <c r="B34" s="224" t="s">
        <v>140</v>
      </c>
      <c r="C34" s="224">
        <v>19</v>
      </c>
      <c r="D34" s="224" t="s">
        <v>375</v>
      </c>
      <c r="E34" s="225" t="str">
        <f t="shared" ca="1" si="8"/>
        <v>R</v>
      </c>
      <c r="F34" s="365"/>
      <c r="G34" s="366">
        <f t="shared" ca="1" si="1"/>
        <v>48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287</v>
      </c>
      <c r="AR34" s="207" t="s">
        <v>173</v>
      </c>
      <c r="AS34" s="207">
        <v>16</v>
      </c>
      <c r="AT34" s="207" t="s">
        <v>288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8"/>
        <v>R</v>
      </c>
      <c r="F35" s="365"/>
      <c r="G35" s="366">
        <f t="shared" ca="1" si="1"/>
        <v>50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>
        <f t="shared" ca="1" si="18"/>
        <v>1</v>
      </c>
      <c r="AJ35" s="169" t="e">
        <f t="shared" ca="1" si="19"/>
        <v>#N/A</v>
      </c>
      <c r="AK35" s="169" t="str">
        <f t="shared" ca="1" si="20"/>
        <v/>
      </c>
      <c r="AL35" s="169" t="str">
        <f t="shared" ca="1" si="20"/>
        <v/>
      </c>
      <c r="AM35" s="169" t="str">
        <f t="shared" ca="1" si="4"/>
        <v>Change</v>
      </c>
      <c r="AQ35" s="207" t="s">
        <v>271</v>
      </c>
      <c r="AR35" s="207" t="s">
        <v>140</v>
      </c>
      <c r="AS35" s="207">
        <v>19</v>
      </c>
      <c r="AT35" s="207" t="s">
        <v>272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UTL</v>
      </c>
    </row>
    <row r="36" spans="1:61" ht="13.9">
      <c r="A36" s="223" t="s">
        <v>354</v>
      </c>
      <c r="B36" s="224" t="s">
        <v>140</v>
      </c>
      <c r="C36" s="224">
        <v>19</v>
      </c>
      <c r="D36" s="224" t="s">
        <v>355</v>
      </c>
      <c r="E36" s="225" t="str">
        <f t="shared" ca="1" si="8"/>
        <v>R</v>
      </c>
      <c r="F36" s="365"/>
      <c r="G36" s="366">
        <f t="shared" ca="1" si="1"/>
        <v>53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3.9">
      <c r="A37" s="223" t="s">
        <v>222</v>
      </c>
      <c r="B37" s="224" t="s">
        <v>141</v>
      </c>
      <c r="C37" s="224">
        <v>18</v>
      </c>
      <c r="D37" s="224" t="s">
        <v>223</v>
      </c>
      <c r="E37" s="225" t="str">
        <f t="shared" ca="1" si="8"/>
        <v>R</v>
      </c>
      <c r="F37" s="365"/>
      <c r="G37" s="366">
        <f t="shared" ca="1" si="1"/>
        <v>10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3.9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65"/>
      <c r="G38" s="366">
        <f t="shared" ca="1" si="1"/>
        <v>11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9">
      <c r="A39" s="223" t="s">
        <v>245</v>
      </c>
      <c r="B39" s="224" t="s">
        <v>141</v>
      </c>
      <c r="C39" s="224">
        <v>18</v>
      </c>
      <c r="D39" s="224" t="s">
        <v>246</v>
      </c>
      <c r="E39" s="225" t="str">
        <f t="shared" ca="1" si="8"/>
        <v>R</v>
      </c>
      <c r="F39" s="365"/>
      <c r="G39" s="366">
        <f t="shared" ca="1" si="1"/>
        <v>12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3.9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65"/>
      <c r="G40" s="366">
        <f t="shared" ca="1" si="1"/>
        <v>21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9">
      <c r="A41" s="223" t="s">
        <v>367</v>
      </c>
      <c r="B41" s="224" t="s">
        <v>141</v>
      </c>
      <c r="C41" s="224">
        <v>18</v>
      </c>
      <c r="D41" s="224" t="s">
        <v>368</v>
      </c>
      <c r="E41" s="225" t="str">
        <f t="shared" ca="1" si="8"/>
        <v>R</v>
      </c>
      <c r="F41" s="365"/>
      <c r="G41" s="366">
        <f t="shared" ca="1" si="1"/>
        <v>22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3.9">
      <c r="A42" s="223" t="s">
        <v>267</v>
      </c>
      <c r="B42" s="224" t="s">
        <v>141</v>
      </c>
      <c r="C42" s="224">
        <v>18</v>
      </c>
      <c r="D42" s="224" t="s">
        <v>268</v>
      </c>
      <c r="E42" s="225" t="str">
        <f t="shared" ca="1" si="8"/>
        <v>R</v>
      </c>
      <c r="F42" s="365"/>
      <c r="G42" s="366">
        <f t="shared" ca="1" si="1"/>
        <v>23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3.9">
      <c r="A43" s="223" t="s">
        <v>269</v>
      </c>
      <c r="B43" s="224" t="s">
        <v>141</v>
      </c>
      <c r="C43" s="224">
        <v>18</v>
      </c>
      <c r="D43" s="224" t="s">
        <v>270</v>
      </c>
      <c r="E43" s="225" t="str">
        <f t="shared" ca="1" si="8"/>
        <v>MR</v>
      </c>
      <c r="F43" s="365"/>
      <c r="G43" s="366">
        <f t="shared" ca="1" si="1"/>
        <v>24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9">
      <c r="A44" s="223" t="s">
        <v>387</v>
      </c>
      <c r="B44" s="224" t="s">
        <v>141</v>
      </c>
      <c r="C44" s="224">
        <v>18</v>
      </c>
      <c r="D44" s="224" t="s">
        <v>388</v>
      </c>
      <c r="E44" s="225" t="str">
        <f t="shared" ca="1" si="8"/>
        <v>R</v>
      </c>
      <c r="F44" s="365"/>
      <c r="G44" s="366">
        <f t="shared" ca="1" si="1"/>
        <v>57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3.9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65"/>
      <c r="G45" s="366">
        <f t="shared" ca="1" si="1"/>
        <v>28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9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65"/>
      <c r="G46" s="366">
        <f t="shared" ca="1" si="1"/>
        <v>35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9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65"/>
      <c r="G47" s="366">
        <f t="shared" ca="1" si="1"/>
        <v>37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9">
      <c r="A48" s="223" t="s">
        <v>301</v>
      </c>
      <c r="B48" s="224" t="s">
        <v>141</v>
      </c>
      <c r="C48" s="224">
        <v>18</v>
      </c>
      <c r="D48" s="224" t="s">
        <v>302</v>
      </c>
      <c r="E48" s="225" t="str">
        <f t="shared" ca="1" si="8"/>
        <v>R</v>
      </c>
      <c r="F48" s="365"/>
      <c r="G48" s="366">
        <f t="shared" ca="1" si="1"/>
        <v>39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9">
      <c r="A49" s="223" t="s">
        <v>303</v>
      </c>
      <c r="B49" s="224" t="s">
        <v>141</v>
      </c>
      <c r="C49" s="224">
        <v>18</v>
      </c>
      <c r="D49" s="224" t="s">
        <v>304</v>
      </c>
      <c r="E49" s="225" t="str">
        <f t="shared" ca="1" si="8"/>
        <v>R</v>
      </c>
      <c r="F49" s="365"/>
      <c r="G49" s="366">
        <f t="shared" ca="1" si="1"/>
        <v>41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3.9">
      <c r="A50" s="223" t="s">
        <v>285</v>
      </c>
      <c r="B50" s="224" t="s">
        <v>141</v>
      </c>
      <c r="C50" s="224">
        <v>18</v>
      </c>
      <c r="D50" s="224" t="s">
        <v>286</v>
      </c>
      <c r="E50" s="225" t="str">
        <f t="shared" ca="1" si="8"/>
        <v>R</v>
      </c>
      <c r="F50" s="365"/>
      <c r="G50" s="366">
        <f t="shared" ca="1" si="1"/>
        <v>42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9">
      <c r="A51" s="223" t="s">
        <v>243</v>
      </c>
      <c r="B51" s="224" t="s">
        <v>141</v>
      </c>
      <c r="C51" s="224">
        <v>18</v>
      </c>
      <c r="D51" s="224" t="s">
        <v>244</v>
      </c>
      <c r="E51" s="225" t="str">
        <f t="shared" ca="1" si="8"/>
        <v>MR</v>
      </c>
      <c r="F51" s="365"/>
      <c r="G51" s="366">
        <f t="shared" ca="1" si="1"/>
        <v>43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3.9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65"/>
      <c r="G52" s="366">
        <f t="shared" ca="1" si="1"/>
        <v>49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9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65"/>
      <c r="G53" s="366">
        <f t="shared" ca="1" si="1"/>
        <v>25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52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9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65"/>
      <c r="G54" s="366">
        <f t="shared" ca="1" si="1"/>
        <v>27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295</v>
      </c>
      <c r="AR54" s="207" t="s">
        <v>140</v>
      </c>
      <c r="AS54" s="207">
        <v>19</v>
      </c>
      <c r="AT54" s="207" t="s">
        <v>296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9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8"/>
        <v>MR</v>
      </c>
      <c r="F55" s="365"/>
      <c r="G55" s="366">
        <f t="shared" ca="1" si="1"/>
        <v>33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3.9">
      <c r="A56" s="223" t="s">
        <v>305</v>
      </c>
      <c r="B56" s="224" t="s">
        <v>142</v>
      </c>
      <c r="C56" s="224">
        <v>17</v>
      </c>
      <c r="D56" s="224" t="s">
        <v>306</v>
      </c>
      <c r="E56" s="225" t="str">
        <f t="shared" ca="1" si="8"/>
        <v>R</v>
      </c>
      <c r="F56" s="365"/>
      <c r="G56" s="366">
        <f t="shared" ca="1" si="1"/>
        <v>62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354</v>
      </c>
      <c r="AR56" s="207" t="s">
        <v>140</v>
      </c>
      <c r="AS56" s="207">
        <v>19</v>
      </c>
      <c r="AT56" s="207" t="s">
        <v>355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3.9">
      <c r="A57" s="223" t="s">
        <v>287</v>
      </c>
      <c r="B57" s="224" t="s">
        <v>173</v>
      </c>
      <c r="C57" s="224">
        <v>16</v>
      </c>
      <c r="D57" s="224" t="s">
        <v>288</v>
      </c>
      <c r="E57" s="225" t="str">
        <f t="shared" ca="1" si="8"/>
        <v>R</v>
      </c>
      <c r="F57" s="365"/>
      <c r="G57" s="366">
        <f t="shared" ca="1" si="1"/>
        <v>60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56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3.9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8"/>
        <v>R</v>
      </c>
      <c r="F58" s="365"/>
      <c r="G58" s="366">
        <f t="shared" ca="1" si="1"/>
        <v>58</v>
      </c>
      <c r="H58" s="367"/>
      <c r="I58" s="367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57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65"/>
      <c r="G62" s="366">
        <f t="shared" ca="1" si="1"/>
        <v>59</v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64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AQ76" s="207"/>
      <c r="AR76" s="207"/>
      <c r="AS76" s="207"/>
    </row>
    <row r="77" spans="1:58">
      <c r="C77" s="190">
        <f>SUMPRODUCT( L8:L13, Y8:Y13 ) / L14</f>
        <v>18.735849056603772</v>
      </c>
      <c r="E77" s="191"/>
      <c r="G77" s="370"/>
      <c r="J77" s="173"/>
      <c r="K77" s="173"/>
      <c r="AQ77" s="207"/>
      <c r="AR77" s="207"/>
      <c r="AS77" s="207"/>
    </row>
    <row r="78" spans="1:58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-- 2014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Reg_Percent_2013</v>
      </c>
      <c r="G2" s="172" t="s">
        <v>391</v>
      </c>
      <c r="AJ2" s="173" t="str">
        <f>AJ4 &amp; AJ3</f>
        <v>'Credit_2014Q2'!d:d</v>
      </c>
      <c r="AK2" s="173" t="str">
        <f>AK4 &amp; AK3</f>
        <v>'Credit_2014Q2'!b1</v>
      </c>
      <c r="AL2" s="173" t="str">
        <f>AL4 &amp; AL3</f>
        <v>'Credit_2014Q2'!c1</v>
      </c>
      <c r="AQ2" s="169"/>
    </row>
    <row r="3" spans="1:61" ht="18" hidden="1" outlineLevel="1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'Credit_2014Q2'!</v>
      </c>
      <c r="AK4" s="169" t="str">
        <f t="shared" ref="AK4:AL4" si="0">$AQ$5</f>
        <v>'Credit_2014Q2'!</v>
      </c>
      <c r="AL4" s="169" t="str">
        <f t="shared" si="0"/>
        <v>'Credit_2014Q2'!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(53)</v>
      </c>
      <c r="M5" s="359"/>
      <c r="N5" s="230"/>
      <c r="O5" s="357" t="str">
        <f ca="1">"Regulated" &amp; CHAR( 10 ) &amp; "(" &amp; O14 &amp; ")"</f>
        <v>Regulated
(38)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398</v>
      </c>
    </row>
    <row r="6" spans="1:61" ht="28.5" customHeight="1">
      <c r="A6" s="219" t="s">
        <v>212</v>
      </c>
      <c r="B6" s="220" t="s">
        <v>58</v>
      </c>
      <c r="C6" s="249" t="s">
        <v>214</v>
      </c>
      <c r="D6" s="221"/>
      <c r="E6" s="222">
        <f ca="1">INDIRECT( E3 &amp; G1 )</f>
        <v>41639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65"/>
      <c r="G7" s="366">
        <f t="shared" ref="G7:G64" ca="1" si="1">IF( LEN( $D7 ) = 0, "", MATCH( $D7, INDIRECT( G$3 &amp; G$4 ), 0 ) )</f>
        <v>47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4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9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8"/>
        <v>R</v>
      </c>
      <c r="F12" s="365"/>
      <c r="G12" s="366">
        <f t="shared" ca="1" si="1"/>
        <v>29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8"/>
        <v>R</v>
      </c>
      <c r="F14" s="365"/>
      <c r="G14" s="366">
        <f t="shared" ca="1" si="1"/>
        <v>34</v>
      </c>
      <c r="H14" s="367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36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18.716981132075471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18.605263157894736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19.153846153846153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141</v>
      </c>
      <c r="AS16" s="207">
        <v>18</v>
      </c>
      <c r="AT16" s="207" t="s">
        <v>257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65"/>
      <c r="G17" s="366">
        <f t="shared" ca="1" si="1"/>
        <v>52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54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55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65"/>
      <c r="G22" s="366">
        <f t="shared" ca="1" si="1"/>
        <v>61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9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9">
      <c r="A24" s="223" t="s">
        <v>261</v>
      </c>
      <c r="B24" s="224" t="s">
        <v>140</v>
      </c>
      <c r="C24" s="224">
        <v>19</v>
      </c>
      <c r="D24" s="224" t="s">
        <v>262</v>
      </c>
      <c r="E24" s="225" t="str">
        <f t="shared" ca="1" si="8"/>
        <v>R</v>
      </c>
      <c r="F24" s="365"/>
      <c r="G24" s="366">
        <f t="shared" ca="1" si="1"/>
        <v>18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3.9">
      <c r="A25" s="223" t="s">
        <v>263</v>
      </c>
      <c r="B25" s="224" t="s">
        <v>140</v>
      </c>
      <c r="C25" s="224">
        <v>19</v>
      </c>
      <c r="D25" s="224" t="s">
        <v>264</v>
      </c>
      <c r="E25" s="225" t="str">
        <f t="shared" ca="1" si="8"/>
        <v>R</v>
      </c>
      <c r="F25" s="365"/>
      <c r="G25" s="366">
        <f t="shared" ca="1" si="1"/>
        <v>19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3.9">
      <c r="A26" s="223" t="s">
        <v>265</v>
      </c>
      <c r="B26" s="224" t="s">
        <v>140</v>
      </c>
      <c r="C26" s="224">
        <v>19</v>
      </c>
      <c r="D26" s="224" t="s">
        <v>266</v>
      </c>
      <c r="E26" s="225" t="str">
        <f t="shared" ca="1" si="8"/>
        <v>R</v>
      </c>
      <c r="F26" s="365"/>
      <c r="G26" s="366">
        <f t="shared" ca="1" si="1"/>
        <v>20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3.9">
      <c r="A27" s="223" t="s">
        <v>352</v>
      </c>
      <c r="B27" s="224" t="s">
        <v>140</v>
      </c>
      <c r="C27" s="224">
        <v>19</v>
      </c>
      <c r="D27" s="224" t="s">
        <v>353</v>
      </c>
      <c r="E27" s="225" t="str">
        <f t="shared" ca="1" si="8"/>
        <v>R</v>
      </c>
      <c r="F27" s="365"/>
      <c r="G27" s="366">
        <f t="shared" ca="1" si="1"/>
        <v>26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3.9">
      <c r="A28" s="223" t="s">
        <v>271</v>
      </c>
      <c r="B28" s="224" t="s">
        <v>140</v>
      </c>
      <c r="C28" s="224">
        <v>19</v>
      </c>
      <c r="D28" s="224" t="s">
        <v>272</v>
      </c>
      <c r="E28" s="225" t="str">
        <f t="shared" ca="1" si="8"/>
        <v>D</v>
      </c>
      <c r="F28" s="365"/>
      <c r="G28" s="366">
        <f t="shared" ca="1" si="1"/>
        <v>30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352</v>
      </c>
      <c r="AR28" s="207" t="s">
        <v>140</v>
      </c>
      <c r="AS28" s="207">
        <v>19</v>
      </c>
      <c r="AT28" s="207" t="s">
        <v>353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3.9">
      <c r="A29" s="223" t="s">
        <v>382</v>
      </c>
      <c r="B29" s="224" t="s">
        <v>140</v>
      </c>
      <c r="C29" s="224">
        <v>19</v>
      </c>
      <c r="D29" s="224" t="s">
        <v>383</v>
      </c>
      <c r="E29" s="225" t="str">
        <f t="shared" ca="1" si="8"/>
        <v>R</v>
      </c>
      <c r="F29" s="365"/>
      <c r="G29" s="366">
        <f t="shared" ca="1" si="1"/>
        <v>38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3.9">
      <c r="A30" s="223" t="s">
        <v>289</v>
      </c>
      <c r="B30" s="224" t="s">
        <v>140</v>
      </c>
      <c r="C30" s="224">
        <v>19</v>
      </c>
      <c r="D30" s="224" t="s">
        <v>290</v>
      </c>
      <c r="E30" s="225" t="str">
        <f t="shared" ca="1" si="8"/>
        <v>MR</v>
      </c>
      <c r="F30" s="365"/>
      <c r="G30" s="366">
        <f t="shared" ca="1" si="1"/>
        <v>44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3.9">
      <c r="A31" s="223" t="s">
        <v>347</v>
      </c>
      <c r="B31" s="224" t="s">
        <v>140</v>
      </c>
      <c r="C31" s="224">
        <v>19</v>
      </c>
      <c r="D31" s="224" t="s">
        <v>348</v>
      </c>
      <c r="E31" s="225" t="str">
        <f t="shared" ca="1" si="8"/>
        <v>MR</v>
      </c>
      <c r="F31" s="365"/>
      <c r="G31" s="366">
        <f t="shared" ca="1" si="1"/>
        <v>45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3.9">
      <c r="A32" s="223" t="s">
        <v>291</v>
      </c>
      <c r="B32" s="224" t="s">
        <v>140</v>
      </c>
      <c r="C32" s="224">
        <v>19</v>
      </c>
      <c r="D32" s="224" t="s">
        <v>292</v>
      </c>
      <c r="E32" s="225" t="str">
        <f t="shared" ca="1" si="8"/>
        <v>MR</v>
      </c>
      <c r="F32" s="365"/>
      <c r="G32" s="366">
        <f t="shared" ca="1" si="1"/>
        <v>46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3.9">
      <c r="A33" s="223" t="s">
        <v>369</v>
      </c>
      <c r="B33" s="224" t="s">
        <v>140</v>
      </c>
      <c r="C33" s="224">
        <v>19</v>
      </c>
      <c r="D33" s="224" t="s">
        <v>375</v>
      </c>
      <c r="E33" s="225" t="str">
        <f t="shared" ca="1" si="8"/>
        <v>R</v>
      </c>
      <c r="F33" s="365"/>
      <c r="G33" s="366">
        <f t="shared" ca="1" si="1"/>
        <v>48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3.9">
      <c r="A34" s="223" t="s">
        <v>354</v>
      </c>
      <c r="B34" s="224" t="s">
        <v>140</v>
      </c>
      <c r="C34" s="224">
        <v>19</v>
      </c>
      <c r="D34" s="224" t="s">
        <v>355</v>
      </c>
      <c r="E34" s="225" t="str">
        <f t="shared" ca="1" si="8"/>
        <v>R</v>
      </c>
      <c r="F34" s="365"/>
      <c r="G34" s="366">
        <f t="shared" ca="1" si="1"/>
        <v>53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3.9">
      <c r="A35" s="223" t="s">
        <v>222</v>
      </c>
      <c r="B35" s="224" t="s">
        <v>141</v>
      </c>
      <c r="C35" s="224">
        <v>18</v>
      </c>
      <c r="D35" s="224" t="s">
        <v>223</v>
      </c>
      <c r="E35" s="225" t="str">
        <f t="shared" ca="1" si="8"/>
        <v>R</v>
      </c>
      <c r="F35" s="365"/>
      <c r="G35" s="366">
        <f t="shared" ca="1" si="1"/>
        <v>10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3.9">
      <c r="A36" s="223" t="s">
        <v>238</v>
      </c>
      <c r="B36" s="224" t="s">
        <v>141</v>
      </c>
      <c r="C36" s="224">
        <v>18</v>
      </c>
      <c r="D36" s="224" t="s">
        <v>239</v>
      </c>
      <c r="E36" s="225" t="str">
        <f t="shared" ca="1" si="8"/>
        <v>R</v>
      </c>
      <c r="F36" s="365"/>
      <c r="G36" s="366">
        <f t="shared" ca="1" si="1"/>
        <v>11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273</v>
      </c>
      <c r="AR36" s="207" t="s">
        <v>142</v>
      </c>
      <c r="AS36" s="207">
        <v>17</v>
      </c>
      <c r="AT36" s="207" t="s">
        <v>274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3.9">
      <c r="A37" s="223" t="s">
        <v>245</v>
      </c>
      <c r="B37" s="224" t="s">
        <v>141</v>
      </c>
      <c r="C37" s="224">
        <v>18</v>
      </c>
      <c r="D37" s="224" t="s">
        <v>246</v>
      </c>
      <c r="E37" s="225" t="str">
        <f t="shared" ca="1" si="8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394</v>
      </c>
      <c r="AR37" s="207" t="s">
        <v>139</v>
      </c>
      <c r="AS37" s="207">
        <v>20</v>
      </c>
      <c r="AT37" s="207" t="s">
        <v>236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3.9">
      <c r="A38" s="223" t="s">
        <v>256</v>
      </c>
      <c r="B38" s="224" t="s">
        <v>141</v>
      </c>
      <c r="C38" s="224">
        <v>18</v>
      </c>
      <c r="D38" s="224" t="s">
        <v>257</v>
      </c>
      <c r="E38" s="225" t="str">
        <f t="shared" ca="1" si="8"/>
        <v>R</v>
      </c>
      <c r="F38" s="365"/>
      <c r="G38" s="366">
        <f t="shared" ca="1" si="1"/>
        <v>15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3.9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8"/>
        <v>R</v>
      </c>
      <c r="F39" s="365"/>
      <c r="G39" s="366">
        <f t="shared" ca="1" si="1"/>
        <v>21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9">
      <c r="A40" s="223" t="s">
        <v>367</v>
      </c>
      <c r="B40" s="224" t="s">
        <v>141</v>
      </c>
      <c r="C40" s="224">
        <v>18</v>
      </c>
      <c r="D40" s="224" t="s">
        <v>368</v>
      </c>
      <c r="E40" s="225" t="str">
        <f t="shared" ca="1" si="8"/>
        <v>R</v>
      </c>
      <c r="F40" s="365"/>
      <c r="G40" s="366">
        <f t="shared" ca="1" si="1"/>
        <v>22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3.9">
      <c r="A41" s="223" t="s">
        <v>267</v>
      </c>
      <c r="B41" s="224" t="s">
        <v>141</v>
      </c>
      <c r="C41" s="224">
        <v>18</v>
      </c>
      <c r="D41" s="224" t="s">
        <v>268</v>
      </c>
      <c r="E41" s="225" t="str">
        <f t="shared" ca="1" si="8"/>
        <v>R</v>
      </c>
      <c r="F41" s="365"/>
      <c r="G41" s="366">
        <f t="shared" ca="1" si="1"/>
        <v>23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3.9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65"/>
      <c r="G42" s="366">
        <f t="shared" ca="1" si="1"/>
        <v>24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9">
      <c r="A43" s="223" t="s">
        <v>387</v>
      </c>
      <c r="B43" s="224" t="s">
        <v>141</v>
      </c>
      <c r="C43" s="224">
        <v>18</v>
      </c>
      <c r="D43" s="224" t="s">
        <v>388</v>
      </c>
      <c r="E43" s="225" t="str">
        <f t="shared" ca="1" si="8"/>
        <v>R</v>
      </c>
      <c r="F43" s="365"/>
      <c r="G43" s="366">
        <f t="shared" ca="1" si="1"/>
        <v>57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3.9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65"/>
      <c r="G44" s="366">
        <f t="shared" ca="1" si="1"/>
        <v>28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9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9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65"/>
      <c r="G46" s="366">
        <f t="shared" ca="1" si="1"/>
        <v>37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9">
      <c r="A47" s="223" t="s">
        <v>301</v>
      </c>
      <c r="B47" s="224" t="s">
        <v>141</v>
      </c>
      <c r="C47" s="224">
        <v>18</v>
      </c>
      <c r="D47" s="224" t="s">
        <v>302</v>
      </c>
      <c r="E47" s="225" t="str">
        <f t="shared" ca="1" si="8"/>
        <v>R</v>
      </c>
      <c r="F47" s="365"/>
      <c r="G47" s="366">
        <f t="shared" ca="1" si="1"/>
        <v>39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9">
      <c r="A48" s="223" t="s">
        <v>303</v>
      </c>
      <c r="B48" s="224" t="s">
        <v>141</v>
      </c>
      <c r="C48" s="224">
        <v>18</v>
      </c>
      <c r="D48" s="224" t="s">
        <v>304</v>
      </c>
      <c r="E48" s="225" t="str">
        <f t="shared" ca="1" si="8"/>
        <v>R</v>
      </c>
      <c r="F48" s="365"/>
      <c r="G48" s="366">
        <f t="shared" ca="1" si="1"/>
        <v>41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3.9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65"/>
      <c r="G49" s="366">
        <f t="shared" ca="1" si="1"/>
        <v>42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9">
      <c r="A50" s="223" t="s">
        <v>243</v>
      </c>
      <c r="B50" s="224" t="s">
        <v>141</v>
      </c>
      <c r="C50" s="224">
        <v>18</v>
      </c>
      <c r="D50" s="224" t="s">
        <v>244</v>
      </c>
      <c r="E50" s="225" t="str">
        <f t="shared" ca="1" si="8"/>
        <v>MR</v>
      </c>
      <c r="F50" s="365"/>
      <c r="G50" s="366">
        <f t="shared" ca="1" si="1"/>
        <v>43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3.9">
      <c r="A51" s="223" t="s">
        <v>389</v>
      </c>
      <c r="B51" s="224" t="s">
        <v>141</v>
      </c>
      <c r="C51" s="224">
        <v>18</v>
      </c>
      <c r="D51" s="224" t="s">
        <v>390</v>
      </c>
      <c r="E51" s="225" t="str">
        <f t="shared" ca="1" si="8"/>
        <v>R</v>
      </c>
      <c r="F51" s="365"/>
      <c r="G51" s="366">
        <f t="shared" ca="1" si="1"/>
        <v>49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8"/>
        <v>MR</v>
      </c>
      <c r="F52" s="365"/>
      <c r="G52" s="366">
        <f t="shared" ca="1" si="1"/>
        <v>25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8"/>
        <v>D</v>
      </c>
      <c r="F53" s="365"/>
      <c r="G53" s="366">
        <f t="shared" ca="1" si="1"/>
        <v>27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9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8"/>
        <v>MR</v>
      </c>
      <c r="F54" s="365"/>
      <c r="G54" s="366">
        <f t="shared" ca="1" si="1"/>
        <v>33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9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65"/>
      <c r="G55" s="366">
        <f t="shared" ca="1" si="1"/>
        <v>62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9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65"/>
      <c r="G56" s="366">
        <f t="shared" ca="1" si="1"/>
        <v>60</v>
      </c>
      <c r="H56" s="367"/>
      <c r="I56" s="367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247</v>
      </c>
      <c r="AR56" s="207" t="s">
        <v>139</v>
      </c>
      <c r="AS56" s="207">
        <v>20</v>
      </c>
      <c r="AT56" s="207" t="s">
        <v>248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9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65"/>
      <c r="G57" s="366">
        <f t="shared" ca="1" si="1"/>
        <v>58</v>
      </c>
      <c r="H57" s="367"/>
      <c r="I57" s="367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9">
      <c r="A58" s="223"/>
      <c r="B58" s="224"/>
      <c r="C58" s="224"/>
      <c r="D58" s="224"/>
      <c r="E58" s="225" t="str">
        <f t="shared" ca="1" si="8"/>
        <v/>
      </c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399</v>
      </c>
      <c r="B62" s="224" t="s">
        <v>141</v>
      </c>
      <c r="C62" s="224">
        <v>18</v>
      </c>
      <c r="D62" s="224" t="s">
        <v>400</v>
      </c>
      <c r="E62" s="225" t="str">
        <f t="shared" ca="1" si="8"/>
        <v>R</v>
      </c>
      <c r="F62" s="365"/>
      <c r="G62" s="366">
        <f t="shared" ca="1" si="1"/>
        <v>51</v>
      </c>
      <c r="H62" s="367"/>
      <c r="I62" s="367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62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 t="s">
        <v>401</v>
      </c>
      <c r="B63" s="224"/>
      <c r="C63" s="224"/>
      <c r="D63" s="224" t="s">
        <v>376</v>
      </c>
      <c r="E63" s="225" t="str">
        <f t="shared" ca="1" si="8"/>
        <v>R</v>
      </c>
      <c r="F63" s="365"/>
      <c r="G63" s="366">
        <f t="shared" ca="1" si="1"/>
        <v>50</v>
      </c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63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 t="s">
        <v>371</v>
      </c>
      <c r="B64" s="224"/>
      <c r="C64" s="224"/>
      <c r="D64" s="224" t="s">
        <v>359</v>
      </c>
      <c r="E64" s="225" t="str">
        <f t="shared" ca="1" si="8"/>
        <v>D</v>
      </c>
      <c r="F64" s="365"/>
      <c r="G64" s="366">
        <f t="shared" ca="1" si="1"/>
        <v>59</v>
      </c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402</v>
      </c>
      <c r="AR65" s="207" t="s">
        <v>141</v>
      </c>
      <c r="AS65" s="207">
        <v>18</v>
      </c>
      <c r="AT65" s="207" t="s">
        <v>400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401</v>
      </c>
      <c r="AR66" s="207"/>
      <c r="AS66" s="207"/>
      <c r="AT66" s="207" t="s">
        <v>376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371</v>
      </c>
      <c r="AR67" s="207"/>
      <c r="AS67" s="207"/>
      <c r="AT67" s="207" t="s">
        <v>359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5" t="s">
        <v>403</v>
      </c>
      <c r="D74" s="204"/>
      <c r="F74" s="206"/>
      <c r="H74" s="206"/>
      <c r="I74" s="206"/>
    </row>
    <row r="75" spans="1:58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>
      <c r="A76" s="203" t="s">
        <v>316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AQ77" s="207"/>
      <c r="AR77" s="207"/>
      <c r="AS77" s="207"/>
    </row>
    <row r="78" spans="1:58">
      <c r="C78" s="190">
        <f>SUMPRODUCT( L8:L13, Y8:Y13 ) / L14</f>
        <v>18.69811320754717</v>
      </c>
      <c r="E78" s="191"/>
      <c r="G78" s="370"/>
      <c r="J78" s="173"/>
      <c r="K78" s="173"/>
      <c r="AQ78" s="207"/>
      <c r="AR78" s="207"/>
      <c r="AS78" s="207"/>
    </row>
    <row r="79" spans="1:58" s="173" customFormat="1" ht="13.9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-- 2014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Reg_Percent_2013</v>
      </c>
      <c r="G2" s="172" t="s">
        <v>391</v>
      </c>
      <c r="AJ2" s="173" t="str">
        <f>AJ4 &amp; AJ3</f>
        <v>'Credit_2014Q1'!d:d</v>
      </c>
      <c r="AK2" s="173" t="str">
        <f>AK4 &amp; AK3</f>
        <v>'Credit_2014Q1'!b1</v>
      </c>
      <c r="AL2" s="173" t="str">
        <f>AL4 &amp; AL3</f>
        <v>'Credit_2014Q1'!c1</v>
      </c>
      <c r="AQ2" s="169"/>
    </row>
    <row r="3" spans="1:61" ht="18" hidden="1" outlineLevel="1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'Credit_2014Q1'!</v>
      </c>
      <c r="AK4" s="169" t="str">
        <f t="shared" ref="AK4:AL4" si="0">$AQ$5</f>
        <v>'Credit_2014Q1'!</v>
      </c>
      <c r="AL4" s="169" t="str">
        <f t="shared" si="0"/>
        <v>'Credit_2014Q1'!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(53)</v>
      </c>
      <c r="M5" s="359"/>
      <c r="N5" s="230"/>
      <c r="O5" s="357" t="str">
        <f ca="1">"Regulated" &amp; CHAR( 10 ) &amp; "(" &amp; O14 &amp; ")"</f>
        <v>Regulated
(38)</v>
      </c>
      <c r="P5" s="361"/>
      <c r="Q5" s="230"/>
      <c r="R5" s="357" t="str">
        <f ca="1">"Mostly Regulated" &amp; CHAR( 10 ) &amp; "(" &amp; R14 &amp; ")"</f>
        <v>Mostly Regulated
(13)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404</v>
      </c>
    </row>
    <row r="6" spans="1:61" ht="28.5" customHeight="1">
      <c r="A6" s="219" t="s">
        <v>212</v>
      </c>
      <c r="B6" s="220" t="s">
        <v>57</v>
      </c>
      <c r="C6" s="249" t="s">
        <v>214</v>
      </c>
      <c r="D6" s="221"/>
      <c r="E6" s="222">
        <f ca="1">INDIRECT( E3 &amp; G1 )</f>
        <v>41639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65"/>
      <c r="G7" s="366">
        <f t="shared" ref="G7:G64" ca="1" si="1">IF( LEN( $D7 ) = 0, "", MATCH( $D7, INDIRECT( G$3 &amp; G$4 ), 0 ) )</f>
        <v>47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4" ca="1" si="8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9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8"/>
        <v>R</v>
      </c>
      <c r="F12" s="365"/>
      <c r="G12" s="366">
        <f t="shared" ca="1" si="1"/>
        <v>29</v>
      </c>
      <c r="H12" s="367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9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8"/>
        <v>R</v>
      </c>
      <c r="F14" s="365"/>
      <c r="G14" s="366">
        <f t="shared" ca="1" si="1"/>
        <v>34</v>
      </c>
      <c r="H14" s="367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65"/>
      <c r="G15" s="366">
        <f t="shared" ca="1" si="1"/>
        <v>36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65"/>
      <c r="G16" s="366">
        <f t="shared" ca="1" si="1"/>
        <v>40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18.716981132075471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18.605263157894736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19.153846153846153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141</v>
      </c>
      <c r="AS16" s="207">
        <v>18</v>
      </c>
      <c r="AT16" s="207" t="s">
        <v>257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9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65"/>
      <c r="G17" s="366">
        <f t="shared" ca="1" si="1"/>
        <v>52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65"/>
      <c r="G18" s="366">
        <f t="shared" ca="1" si="1"/>
        <v>54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65"/>
      <c r="G19" s="366">
        <f t="shared" ca="1" si="1"/>
        <v>55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65"/>
      <c r="G20" s="366">
        <f t="shared" ca="1" si="1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65"/>
      <c r="G21" s="366">
        <f t="shared" ca="1" si="1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9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65"/>
      <c r="G22" s="366">
        <f t="shared" ca="1" si="1"/>
        <v>61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26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9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65"/>
      <c r="G23" s="366">
        <f t="shared" ca="1" si="1"/>
        <v>14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9">
      <c r="A24" s="223" t="s">
        <v>261</v>
      </c>
      <c r="B24" s="224" t="s">
        <v>140</v>
      </c>
      <c r="C24" s="224">
        <v>19</v>
      </c>
      <c r="D24" s="224" t="s">
        <v>262</v>
      </c>
      <c r="E24" s="225" t="str">
        <f t="shared" ca="1" si="8"/>
        <v>R</v>
      </c>
      <c r="F24" s="365"/>
      <c r="G24" s="366">
        <f t="shared" ca="1" si="1"/>
        <v>18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3.9">
      <c r="A25" s="223" t="s">
        <v>263</v>
      </c>
      <c r="B25" s="224" t="s">
        <v>140</v>
      </c>
      <c r="C25" s="224">
        <v>19</v>
      </c>
      <c r="D25" s="224" t="s">
        <v>264</v>
      </c>
      <c r="E25" s="225" t="str">
        <f t="shared" ca="1" si="8"/>
        <v>R</v>
      </c>
      <c r="F25" s="365"/>
      <c r="G25" s="366">
        <f t="shared" ca="1" si="1"/>
        <v>19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3.9">
      <c r="A26" s="223" t="s">
        <v>265</v>
      </c>
      <c r="B26" s="224" t="s">
        <v>140</v>
      </c>
      <c r="C26" s="224">
        <v>19</v>
      </c>
      <c r="D26" s="224" t="s">
        <v>266</v>
      </c>
      <c r="E26" s="225" t="str">
        <f t="shared" ca="1" si="8"/>
        <v>R</v>
      </c>
      <c r="F26" s="365"/>
      <c r="G26" s="366">
        <f t="shared" ca="1" si="1"/>
        <v>20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8"/>
        <v/>
      </c>
      <c r="AJ26" s="169">
        <f t="shared" ca="1" si="19"/>
        <v>51</v>
      </c>
      <c r="AK26" s="169" t="str">
        <f t="shared" ca="1" si="20"/>
        <v>BBB-</v>
      </c>
      <c r="AL26" s="169">
        <f t="shared" ca="1" si="20"/>
        <v>17</v>
      </c>
      <c r="AM26" s="169" t="str">
        <f t="shared" ca="1" si="4"/>
        <v>Change</v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3.9">
      <c r="A27" s="223" t="s">
        <v>352</v>
      </c>
      <c r="B27" s="224" t="s">
        <v>140</v>
      </c>
      <c r="C27" s="224">
        <v>19</v>
      </c>
      <c r="D27" s="224" t="s">
        <v>353</v>
      </c>
      <c r="E27" s="225" t="str">
        <f t="shared" ca="1" si="8"/>
        <v>R</v>
      </c>
      <c r="F27" s="365"/>
      <c r="G27" s="366">
        <f t="shared" ca="1" si="1"/>
        <v>26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>
        <f t="shared" ca="1" si="3"/>
        <v>1</v>
      </c>
      <c r="AH27" s="169" t="str">
        <f t="shared" ca="1" si="18"/>
        <v/>
      </c>
      <c r="AJ27" s="169">
        <f t="shared" ca="1" si="19"/>
        <v>40</v>
      </c>
      <c r="AK27" s="169" t="str">
        <f t="shared" ca="1" si="20"/>
        <v>BBB</v>
      </c>
      <c r="AL27" s="169">
        <f t="shared" ca="1" si="20"/>
        <v>18</v>
      </c>
      <c r="AM27" s="169" t="str">
        <f t="shared" ca="1" si="4"/>
        <v>Change</v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3.9">
      <c r="A28" s="223" t="s">
        <v>271</v>
      </c>
      <c r="B28" s="224" t="s">
        <v>140</v>
      </c>
      <c r="C28" s="224">
        <v>19</v>
      </c>
      <c r="D28" s="224" t="s">
        <v>272</v>
      </c>
      <c r="E28" s="225" t="str">
        <f t="shared" ca="1" si="8"/>
        <v>D</v>
      </c>
      <c r="F28" s="365"/>
      <c r="G28" s="366">
        <f t="shared" ca="1" si="1"/>
        <v>30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25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352</v>
      </c>
      <c r="AR28" s="207" t="s">
        <v>140</v>
      </c>
      <c r="AS28" s="207">
        <v>19</v>
      </c>
      <c r="AT28" s="207" t="s">
        <v>353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3.9">
      <c r="A29" s="223" t="s">
        <v>382</v>
      </c>
      <c r="B29" s="224" t="s">
        <v>140</v>
      </c>
      <c r="C29" s="224">
        <v>19</v>
      </c>
      <c r="D29" s="224" t="s">
        <v>383</v>
      </c>
      <c r="E29" s="225" t="str">
        <f t="shared" ca="1" si="8"/>
        <v>R</v>
      </c>
      <c r="F29" s="365"/>
      <c r="G29" s="366">
        <f t="shared" ca="1" si="1"/>
        <v>38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27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3.9">
      <c r="A30" s="223" t="s">
        <v>289</v>
      </c>
      <c r="B30" s="224" t="s">
        <v>140</v>
      </c>
      <c r="C30" s="224">
        <v>19</v>
      </c>
      <c r="D30" s="224" t="s">
        <v>290</v>
      </c>
      <c r="E30" s="225" t="str">
        <f t="shared" ca="1" si="8"/>
        <v>MR</v>
      </c>
      <c r="F30" s="365"/>
      <c r="G30" s="366">
        <f t="shared" ca="1" si="1"/>
        <v>44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3.9">
      <c r="A31" s="223" t="s">
        <v>347</v>
      </c>
      <c r="B31" s="224" t="s">
        <v>140</v>
      </c>
      <c r="C31" s="224">
        <v>19</v>
      </c>
      <c r="D31" s="224" t="s">
        <v>348</v>
      </c>
      <c r="E31" s="225" t="str">
        <f t="shared" ca="1" si="8"/>
        <v>MR</v>
      </c>
      <c r="F31" s="365"/>
      <c r="G31" s="366">
        <f t="shared" ca="1" si="1"/>
        <v>45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3.9">
      <c r="A32" s="223" t="s">
        <v>291</v>
      </c>
      <c r="B32" s="224" t="s">
        <v>140</v>
      </c>
      <c r="C32" s="224">
        <v>19</v>
      </c>
      <c r="D32" s="224" t="s">
        <v>292</v>
      </c>
      <c r="E32" s="225" t="str">
        <f t="shared" ca="1" si="8"/>
        <v>MR</v>
      </c>
      <c r="F32" s="365"/>
      <c r="G32" s="366">
        <f t="shared" ca="1" si="1"/>
        <v>46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3.9">
      <c r="A33" s="223" t="s">
        <v>369</v>
      </c>
      <c r="B33" s="224" t="s">
        <v>140</v>
      </c>
      <c r="C33" s="224">
        <v>19</v>
      </c>
      <c r="D33" s="224" t="s">
        <v>375</v>
      </c>
      <c r="E33" s="225" t="str">
        <f t="shared" ca="1" si="8"/>
        <v>R</v>
      </c>
      <c r="F33" s="365"/>
      <c r="G33" s="366">
        <f t="shared" ca="1" si="1"/>
        <v>48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3.9">
      <c r="A34" s="223" t="s">
        <v>354</v>
      </c>
      <c r="B34" s="224" t="s">
        <v>140</v>
      </c>
      <c r="C34" s="224">
        <v>19</v>
      </c>
      <c r="D34" s="224" t="s">
        <v>355</v>
      </c>
      <c r="E34" s="225" t="str">
        <f t="shared" ca="1" si="8"/>
        <v>R</v>
      </c>
      <c r="F34" s="365"/>
      <c r="G34" s="366">
        <f t="shared" ca="1" si="1"/>
        <v>53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>
        <f t="shared" ca="1" si="3"/>
        <v>1</v>
      </c>
      <c r="AH34" s="169" t="str">
        <f t="shared" ca="1" si="18"/>
        <v/>
      </c>
      <c r="AJ34" s="169">
        <f t="shared" ca="1" si="19"/>
        <v>50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4"/>
        <v>Change</v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3.9">
      <c r="A35" s="223" t="s">
        <v>222</v>
      </c>
      <c r="B35" s="224" t="s">
        <v>141</v>
      </c>
      <c r="C35" s="224">
        <v>18</v>
      </c>
      <c r="D35" s="224" t="s">
        <v>223</v>
      </c>
      <c r="E35" s="225" t="str">
        <f t="shared" ca="1" si="8"/>
        <v>R</v>
      </c>
      <c r="F35" s="365"/>
      <c r="G35" s="366">
        <f t="shared" ca="1" si="1"/>
        <v>10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3.9">
      <c r="A36" s="223" t="s">
        <v>238</v>
      </c>
      <c r="B36" s="224" t="s">
        <v>141</v>
      </c>
      <c r="C36" s="224">
        <v>18</v>
      </c>
      <c r="D36" s="224" t="s">
        <v>239</v>
      </c>
      <c r="E36" s="225" t="str">
        <f t="shared" ca="1" si="8"/>
        <v>R</v>
      </c>
      <c r="F36" s="365"/>
      <c r="G36" s="366">
        <f t="shared" ca="1" si="1"/>
        <v>11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273</v>
      </c>
      <c r="AR36" s="207" t="s">
        <v>142</v>
      </c>
      <c r="AS36" s="207">
        <v>17</v>
      </c>
      <c r="AT36" s="207" t="s">
        <v>274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3.9">
      <c r="A37" s="223" t="s">
        <v>245</v>
      </c>
      <c r="B37" s="224" t="s">
        <v>141</v>
      </c>
      <c r="C37" s="224">
        <v>18</v>
      </c>
      <c r="D37" s="224" t="s">
        <v>246</v>
      </c>
      <c r="E37" s="225" t="str">
        <f t="shared" ca="1" si="8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394</v>
      </c>
      <c r="AR37" s="207" t="s">
        <v>139</v>
      </c>
      <c r="AS37" s="207">
        <v>20</v>
      </c>
      <c r="AT37" s="207" t="s">
        <v>236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3.9">
      <c r="A38" s="223" t="s">
        <v>256</v>
      </c>
      <c r="B38" s="224" t="s">
        <v>141</v>
      </c>
      <c r="C38" s="224">
        <v>18</v>
      </c>
      <c r="D38" s="224" t="s">
        <v>257</v>
      </c>
      <c r="E38" s="225" t="str">
        <f t="shared" ca="1" si="8"/>
        <v>R</v>
      </c>
      <c r="F38" s="365"/>
      <c r="G38" s="366">
        <f t="shared" ca="1" si="1"/>
        <v>15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35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3.9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8"/>
        <v>R</v>
      </c>
      <c r="F39" s="365"/>
      <c r="G39" s="366">
        <f t="shared" ca="1" si="1"/>
        <v>21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9">
      <c r="A40" s="223" t="s">
        <v>367</v>
      </c>
      <c r="B40" s="224" t="s">
        <v>141</v>
      </c>
      <c r="C40" s="224">
        <v>18</v>
      </c>
      <c r="D40" s="224" t="s">
        <v>368</v>
      </c>
      <c r="E40" s="225" t="str">
        <f t="shared" ca="1" si="8"/>
        <v>R</v>
      </c>
      <c r="F40" s="365"/>
      <c r="G40" s="366">
        <f t="shared" ca="1" si="1"/>
        <v>22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3.9">
      <c r="A41" s="223" t="s">
        <v>267</v>
      </c>
      <c r="B41" s="224" t="s">
        <v>141</v>
      </c>
      <c r="C41" s="224">
        <v>18</v>
      </c>
      <c r="D41" s="224" t="s">
        <v>268</v>
      </c>
      <c r="E41" s="225" t="str">
        <f t="shared" ca="1" si="8"/>
        <v>R</v>
      </c>
      <c r="F41" s="365"/>
      <c r="G41" s="366">
        <f t="shared" ca="1" si="1"/>
        <v>23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3.9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65"/>
      <c r="G42" s="366">
        <f t="shared" ca="1" si="1"/>
        <v>24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9">
      <c r="A43" s="223" t="s">
        <v>387</v>
      </c>
      <c r="B43" s="224" t="s">
        <v>141</v>
      </c>
      <c r="C43" s="224">
        <v>18</v>
      </c>
      <c r="D43" s="224" t="s">
        <v>388</v>
      </c>
      <c r="E43" s="225" t="str">
        <f t="shared" ca="1" si="8"/>
        <v>R</v>
      </c>
      <c r="F43" s="365"/>
      <c r="G43" s="366">
        <f t="shared" ca="1" si="1"/>
        <v>57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3.9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65"/>
      <c r="G44" s="366">
        <f t="shared" ca="1" si="1"/>
        <v>28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9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65"/>
      <c r="G45" s="366">
        <f t="shared" ca="1" si="1"/>
        <v>35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9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65"/>
      <c r="G46" s="366">
        <f t="shared" ca="1" si="1"/>
        <v>37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9">
      <c r="A47" s="223" t="s">
        <v>301</v>
      </c>
      <c r="B47" s="224" t="s">
        <v>141</v>
      </c>
      <c r="C47" s="224">
        <v>18</v>
      </c>
      <c r="D47" s="224" t="s">
        <v>302</v>
      </c>
      <c r="E47" s="225" t="str">
        <f t="shared" ca="1" si="8"/>
        <v>R</v>
      </c>
      <c r="F47" s="365"/>
      <c r="G47" s="366">
        <f t="shared" ca="1" si="1"/>
        <v>39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9">
      <c r="A48" s="223" t="s">
        <v>303</v>
      </c>
      <c r="B48" s="224" t="s">
        <v>141</v>
      </c>
      <c r="C48" s="224">
        <v>18</v>
      </c>
      <c r="D48" s="224" t="s">
        <v>304</v>
      </c>
      <c r="E48" s="225" t="str">
        <f t="shared" ca="1" si="8"/>
        <v>R</v>
      </c>
      <c r="F48" s="365"/>
      <c r="G48" s="366">
        <f t="shared" ca="1" si="1"/>
        <v>41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3.9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65"/>
      <c r="G49" s="366">
        <f t="shared" ca="1" si="1"/>
        <v>42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9">
      <c r="A50" s="223" t="s">
        <v>243</v>
      </c>
      <c r="B50" s="224" t="s">
        <v>141</v>
      </c>
      <c r="C50" s="224">
        <v>18</v>
      </c>
      <c r="D50" s="224" t="s">
        <v>244</v>
      </c>
      <c r="E50" s="225" t="str">
        <f t="shared" ca="1" si="8"/>
        <v>MR</v>
      </c>
      <c r="F50" s="365"/>
      <c r="G50" s="366">
        <f t="shared" ca="1" si="1"/>
        <v>43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48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3.9">
      <c r="A51" s="223" t="s">
        <v>389</v>
      </c>
      <c r="B51" s="224" t="s">
        <v>141</v>
      </c>
      <c r="C51" s="224">
        <v>18</v>
      </c>
      <c r="D51" s="224" t="s">
        <v>390</v>
      </c>
      <c r="E51" s="225" t="str">
        <f t="shared" ca="1" si="8"/>
        <v>R</v>
      </c>
      <c r="F51" s="365"/>
      <c r="G51" s="366">
        <f t="shared" ca="1" si="1"/>
        <v>49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49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8"/>
        <v>MR</v>
      </c>
      <c r="F52" s="365"/>
      <c r="G52" s="366">
        <f t="shared" ca="1" si="1"/>
        <v>25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8"/>
        <v>D</v>
      </c>
      <c r="F53" s="365"/>
      <c r="G53" s="366">
        <f t="shared" ca="1" si="1"/>
        <v>27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9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8"/>
        <v>MR</v>
      </c>
      <c r="F54" s="365"/>
      <c r="G54" s="366">
        <f t="shared" ca="1" si="1"/>
        <v>33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9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65"/>
      <c r="G55" s="366">
        <f t="shared" ca="1" si="1"/>
        <v>62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9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65"/>
      <c r="G56" s="366">
        <f t="shared" ca="1" si="1"/>
        <v>60</v>
      </c>
      <c r="H56" s="367"/>
      <c r="I56" s="367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247</v>
      </c>
      <c r="AR56" s="207" t="s">
        <v>139</v>
      </c>
      <c r="AS56" s="207">
        <v>20</v>
      </c>
      <c r="AT56" s="207" t="s">
        <v>248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9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65"/>
      <c r="G57" s="366">
        <f t="shared" ca="1" si="1"/>
        <v>58</v>
      </c>
      <c r="H57" s="367"/>
      <c r="I57" s="367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9">
      <c r="A58" s="223"/>
      <c r="B58" s="224"/>
      <c r="C58" s="224"/>
      <c r="D58" s="224"/>
      <c r="E58" s="225" t="str">
        <f t="shared" ca="1" si="8"/>
        <v/>
      </c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8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8"/>
        <v/>
      </c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71"/>
      <c r="G61" s="372">
        <f t="shared" ca="1" si="1"/>
        <v>31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62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3" t="s">
        <v>399</v>
      </c>
      <c r="B62" s="224" t="s">
        <v>141</v>
      </c>
      <c r="C62" s="224">
        <v>18</v>
      </c>
      <c r="D62" s="224" t="s">
        <v>400</v>
      </c>
      <c r="E62" s="225" t="str">
        <f t="shared" ca="1" si="8"/>
        <v>R</v>
      </c>
      <c r="F62" s="365"/>
      <c r="G62" s="366">
        <f t="shared" ca="1" si="1"/>
        <v>51</v>
      </c>
      <c r="H62" s="367"/>
      <c r="I62" s="367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63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 t="s">
        <v>401</v>
      </c>
      <c r="B63" s="224"/>
      <c r="C63" s="224"/>
      <c r="D63" s="224" t="s">
        <v>376</v>
      </c>
      <c r="E63" s="225" t="str">
        <f t="shared" ca="1" si="8"/>
        <v>R</v>
      </c>
      <c r="F63" s="365"/>
      <c r="G63" s="366">
        <f t="shared" ca="1" si="1"/>
        <v>50</v>
      </c>
      <c r="H63" s="367"/>
      <c r="I63" s="367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64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 t="s">
        <v>371</v>
      </c>
      <c r="B64" s="224"/>
      <c r="C64" s="224"/>
      <c r="D64" s="224" t="s">
        <v>359</v>
      </c>
      <c r="E64" s="225" t="str">
        <f t="shared" ca="1" si="8"/>
        <v>D</v>
      </c>
      <c r="F64" s="365"/>
      <c r="G64" s="366">
        <f t="shared" ca="1" si="1"/>
        <v>59</v>
      </c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58</v>
      </c>
      <c r="AK64" s="169" t="str">
        <f t="shared" ca="1" si="20"/>
        <v>CCC-</v>
      </c>
      <c r="AL64" s="169">
        <f t="shared" ca="1" si="20"/>
        <v>8</v>
      </c>
      <c r="AM64" s="169" t="str">
        <f t="shared" ca="1" si="4"/>
        <v>Change</v>
      </c>
      <c r="AQ64" s="207" t="s">
        <v>384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402</v>
      </c>
      <c r="AR65" s="207" t="s">
        <v>141</v>
      </c>
      <c r="AS65" s="207">
        <v>18</v>
      </c>
      <c r="AT65" s="207" t="s">
        <v>400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401</v>
      </c>
      <c r="AR66" s="207"/>
      <c r="AS66" s="207"/>
      <c r="AT66" s="207" t="s">
        <v>376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371</v>
      </c>
      <c r="AR67" s="207"/>
      <c r="AS67" s="207"/>
      <c r="AT67" s="207" t="s">
        <v>359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5" t="s">
        <v>403</v>
      </c>
      <c r="D74" s="204"/>
      <c r="F74" s="206"/>
      <c r="H74" s="206"/>
      <c r="I74" s="206"/>
    </row>
    <row r="75" spans="1:58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>
      <c r="A76" s="203" t="s">
        <v>316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AQ77" s="207"/>
      <c r="AR77" s="207"/>
      <c r="AS77" s="207"/>
    </row>
    <row r="78" spans="1:58">
      <c r="C78" s="190">
        <f>SUMPRODUCT( L8:L13, Y8:Y13 ) / L14</f>
        <v>18.69811320754717</v>
      </c>
      <c r="E78" s="191"/>
      <c r="G78" s="370"/>
      <c r="J78" s="173"/>
      <c r="K78" s="173"/>
      <c r="AQ78" s="207"/>
      <c r="AR78" s="207"/>
      <c r="AS78" s="207"/>
    </row>
    <row r="79" spans="1:58" s="173" customFormat="1" ht="13.9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-- 2014 Q1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Reg_Percent_2012</v>
      </c>
      <c r="G2" s="172" t="s">
        <v>405</v>
      </c>
      <c r="AJ2" s="173" t="str">
        <f>AJ4 &amp; AJ3</f>
        <v>'Credit_2013Q4'!a:a</v>
      </c>
      <c r="AK2" s="173" t="str">
        <f>AK4 &amp; AK3</f>
        <v>'Credit_2013Q4'!b1</v>
      </c>
      <c r="AL2" s="173" t="str">
        <f>AL4 &amp; AL3</f>
        <v>'Credit_2013Q4'!c1</v>
      </c>
      <c r="AQ2" s="169"/>
    </row>
    <row r="3" spans="1:61" ht="18" hidden="1" outlineLevel="1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'Credit_2013Q4'!</v>
      </c>
      <c r="AK4" s="169" t="str">
        <f t="shared" ref="AK4:AL4" si="0">$AQ$5</f>
        <v>'Credit_2013Q4'!</v>
      </c>
      <c r="AL4" s="169" t="str">
        <f t="shared" si="0"/>
        <v>'Credit_2013Q4'!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(54)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407</v>
      </c>
    </row>
    <row r="6" spans="1:61" ht="28.5" customHeight="1">
      <c r="A6" s="219" t="s">
        <v>212</v>
      </c>
      <c r="B6" s="220" t="s">
        <v>56</v>
      </c>
      <c r="C6" s="249" t="s">
        <v>214</v>
      </c>
      <c r="D6" s="221"/>
      <c r="E6" s="222">
        <v>41274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8" ca="1" si="1">OFFSET( INDIRECT( E$3 &amp; E$4 ), $G7 - 1, 0 )</f>
        <v>R</v>
      </c>
      <c r="F7" s="365"/>
      <c r="G7" s="366">
        <f t="shared" ref="G7:G64" ca="1" si="2">IF( LEN( $D7 ) = 0, "", MATCH( $D7, INDIRECT( G$3 &amp; G$4 ), 0 ) )</f>
        <v>48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1"/>
        <v>R</v>
      </c>
      <c r="F8" s="365"/>
      <c r="G8" s="366">
        <f t="shared" ca="1" si="2"/>
        <v>8</v>
      </c>
      <c r="H8" s="367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1"/>
        <v>MR</v>
      </c>
      <c r="F9" s="365"/>
      <c r="G9" s="366">
        <f t="shared" ca="1" si="2"/>
        <v>13</v>
      </c>
      <c r="H9" s="367"/>
      <c r="I9" s="234"/>
      <c r="J9" s="215" t="s">
        <v>139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68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1"/>
        <v>R</v>
      </c>
      <c r="F10" s="365"/>
      <c r="G10" s="366">
        <f t="shared" ca="1" si="2"/>
        <v>16</v>
      </c>
      <c r="H10" s="367"/>
      <c r="I10" s="234"/>
      <c r="J10" s="215" t="s">
        <v>140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1"/>
        <v>MR</v>
      </c>
      <c r="F11" s="365"/>
      <c r="G11" s="366">
        <f t="shared" ca="1" si="2"/>
        <v>17</v>
      </c>
      <c r="H11" s="367"/>
      <c r="I11" s="234"/>
      <c r="J11" s="215" t="s">
        <v>141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9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1"/>
        <v>R</v>
      </c>
      <c r="F12" s="365"/>
      <c r="G12" s="366">
        <f t="shared" ca="1" si="2"/>
        <v>29</v>
      </c>
      <c r="H12" s="367"/>
      <c r="I12" s="234"/>
      <c r="J12" s="215" t="s">
        <v>142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245</v>
      </c>
      <c r="AR12" s="207" t="s">
        <v>141</v>
      </c>
      <c r="AS12" s="207">
        <v>18</v>
      </c>
      <c r="AT12" s="207" t="s">
        <v>246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1"/>
        <v>MR</v>
      </c>
      <c r="F13" s="365"/>
      <c r="G13" s="366">
        <f t="shared" ca="1" si="2"/>
        <v>32</v>
      </c>
      <c r="H13" s="367"/>
      <c r="I13" s="235"/>
      <c r="J13" s="217" t="s">
        <v>143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9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1"/>
        <v>R</v>
      </c>
      <c r="F14" s="365"/>
      <c r="G14" s="366">
        <f t="shared" ca="1" si="2"/>
        <v>34</v>
      </c>
      <c r="H14" s="367"/>
      <c r="I14" s="236"/>
      <c r="J14" s="211" t="s">
        <v>144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254</v>
      </c>
      <c r="AR14" s="207" t="s">
        <v>140</v>
      </c>
      <c r="AS14" s="207">
        <v>19</v>
      </c>
      <c r="AT14" s="207" t="s">
        <v>378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1"/>
        <v>MR</v>
      </c>
      <c r="F15" s="365"/>
      <c r="G15" s="366">
        <f t="shared" ca="1" si="2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1"/>
        <v>R</v>
      </c>
      <c r="F16" s="365"/>
      <c r="G16" s="366">
        <f t="shared" ca="1" si="2"/>
        <v>41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18.444444444444443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18.457142857142856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13.5</v>
      </c>
      <c r="V16" s="356"/>
      <c r="W16" s="232"/>
      <c r="AE16" s="184"/>
      <c r="AF16" s="169">
        <f t="shared" si="3"/>
        <v>0</v>
      </c>
      <c r="AG16" s="169" t="str">
        <f t="shared" ca="1" si="4"/>
        <v/>
      </c>
      <c r="AH16" s="169" t="str">
        <f t="shared" ca="1" si="19"/>
        <v/>
      </c>
      <c r="AJ16" s="169">
        <f t="shared" ca="1" si="5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6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3.9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1"/>
        <v>MR</v>
      </c>
      <c r="F17" s="365"/>
      <c r="G17" s="366">
        <f t="shared" ca="1" si="2"/>
        <v>53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1"/>
        <v>R</v>
      </c>
      <c r="F18" s="365"/>
      <c r="G18" s="366">
        <f t="shared" ca="1" si="2"/>
        <v>55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1"/>
        <v>R</v>
      </c>
      <c r="F19" s="365"/>
      <c r="G19" s="366">
        <f t="shared" ca="1" si="2"/>
        <v>56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1"/>
        <v>R</v>
      </c>
      <c r="F20" s="365"/>
      <c r="G20" s="366">
        <f t="shared" ca="1" si="2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1"/>
        <v>R</v>
      </c>
      <c r="F21" s="365"/>
      <c r="G21" s="366">
        <f t="shared" ca="1" si="2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 t="str">
        <f t="shared" ca="1" si="4"/>
        <v/>
      </c>
      <c r="AH21" s="169" t="str">
        <f t="shared" ca="1" si="19"/>
        <v/>
      </c>
      <c r="AJ21" s="169">
        <f t="shared" ca="1" si="5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6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3.9">
      <c r="A22" s="223" t="s">
        <v>254</v>
      </c>
      <c r="B22" s="224" t="s">
        <v>140</v>
      </c>
      <c r="C22" s="224">
        <v>19</v>
      </c>
      <c r="D22" s="224" t="s">
        <v>378</v>
      </c>
      <c r="E22" s="225" t="str">
        <f t="shared" ca="1" si="1"/>
        <v>R</v>
      </c>
      <c r="F22" s="365"/>
      <c r="G22" s="366">
        <f t="shared" ca="1" si="2"/>
        <v>14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3.9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1"/>
        <v>R</v>
      </c>
      <c r="F23" s="365"/>
      <c r="G23" s="366">
        <f t="shared" ca="1" si="2"/>
        <v>18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3.9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1"/>
        <v>R</v>
      </c>
      <c r="F24" s="365"/>
      <c r="G24" s="366">
        <f t="shared" ca="1" si="2"/>
        <v>19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371</v>
      </c>
      <c r="AR24" s="207" t="s">
        <v>189</v>
      </c>
      <c r="AS24" s="207">
        <v>8</v>
      </c>
      <c r="AT24" s="207" t="s">
        <v>359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3.9">
      <c r="A25" s="223" t="s">
        <v>271</v>
      </c>
      <c r="B25" s="224" t="s">
        <v>140</v>
      </c>
      <c r="C25" s="224">
        <v>19</v>
      </c>
      <c r="D25" s="224" t="s">
        <v>272</v>
      </c>
      <c r="E25" s="225" t="str">
        <f t="shared" ca="1" si="1"/>
        <v>D</v>
      </c>
      <c r="F25" s="365"/>
      <c r="G25" s="366">
        <f t="shared" ca="1" si="2"/>
        <v>30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3.9">
      <c r="A26" s="223" t="s">
        <v>408</v>
      </c>
      <c r="B26" s="224" t="s">
        <v>140</v>
      </c>
      <c r="C26" s="224">
        <v>19</v>
      </c>
      <c r="D26" s="224" t="s">
        <v>216</v>
      </c>
      <c r="E26" s="225" t="str">
        <f t="shared" ca="1" si="1"/>
        <v>MR</v>
      </c>
      <c r="F26" s="365"/>
      <c r="G26" s="366">
        <f t="shared" ca="1" si="2"/>
        <v>62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3.9">
      <c r="A27" s="223" t="s">
        <v>382</v>
      </c>
      <c r="B27" s="224" t="s">
        <v>140</v>
      </c>
      <c r="C27" s="224">
        <v>19</v>
      </c>
      <c r="D27" s="224" t="s">
        <v>383</v>
      </c>
      <c r="E27" s="225" t="str">
        <f t="shared" ca="1" si="1"/>
        <v>MR</v>
      </c>
      <c r="F27" s="365"/>
      <c r="G27" s="366">
        <f t="shared" ca="1" si="2"/>
        <v>39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3.9">
      <c r="A28" s="223" t="s">
        <v>289</v>
      </c>
      <c r="B28" s="224" t="s">
        <v>140</v>
      </c>
      <c r="C28" s="224">
        <v>19</v>
      </c>
      <c r="D28" s="224" t="s">
        <v>290</v>
      </c>
      <c r="E28" s="225" t="str">
        <f t="shared" ca="1" si="1"/>
        <v>MR</v>
      </c>
      <c r="F28" s="365"/>
      <c r="G28" s="366">
        <f t="shared" ca="1" si="2"/>
        <v>45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3.9">
      <c r="A29" s="223" t="s">
        <v>347</v>
      </c>
      <c r="B29" s="224" t="s">
        <v>140</v>
      </c>
      <c r="C29" s="224">
        <v>19</v>
      </c>
      <c r="D29" s="224" t="s">
        <v>348</v>
      </c>
      <c r="E29" s="225" t="str">
        <f t="shared" ca="1" si="1"/>
        <v>MR</v>
      </c>
      <c r="F29" s="365"/>
      <c r="G29" s="366">
        <f t="shared" ca="1" si="2"/>
        <v>46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3.9">
      <c r="A30" s="223" t="s">
        <v>291</v>
      </c>
      <c r="B30" s="224" t="s">
        <v>140</v>
      </c>
      <c r="C30" s="224">
        <v>19</v>
      </c>
      <c r="D30" s="224" t="s">
        <v>292</v>
      </c>
      <c r="E30" s="225" t="str">
        <f t="shared" ca="1" si="1"/>
        <v>MR</v>
      </c>
      <c r="F30" s="365"/>
      <c r="G30" s="366">
        <f t="shared" ca="1" si="2"/>
        <v>47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3.9">
      <c r="A31" s="223" t="s">
        <v>369</v>
      </c>
      <c r="B31" s="224" t="s">
        <v>140</v>
      </c>
      <c r="C31" s="224">
        <v>19</v>
      </c>
      <c r="D31" s="224" t="s">
        <v>375</v>
      </c>
      <c r="E31" s="225" t="str">
        <f t="shared" ca="1" si="1"/>
        <v>R</v>
      </c>
      <c r="F31" s="365"/>
      <c r="G31" s="366">
        <f t="shared" ca="1" si="2"/>
        <v>49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3.9">
      <c r="A32" s="223" t="s">
        <v>222</v>
      </c>
      <c r="B32" s="224" t="s">
        <v>141</v>
      </c>
      <c r="C32" s="224">
        <v>18</v>
      </c>
      <c r="D32" s="224" t="s">
        <v>223</v>
      </c>
      <c r="E32" s="225" t="str">
        <f t="shared" ca="1" si="1"/>
        <v>R</v>
      </c>
      <c r="F32" s="365"/>
      <c r="G32" s="366">
        <f t="shared" ca="1" si="2"/>
        <v>10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3.9">
      <c r="A33" s="223" t="s">
        <v>238</v>
      </c>
      <c r="B33" s="224" t="s">
        <v>141</v>
      </c>
      <c r="C33" s="224">
        <v>18</v>
      </c>
      <c r="D33" s="224" t="s">
        <v>239</v>
      </c>
      <c r="E33" s="225" t="str">
        <f t="shared" ca="1" si="1"/>
        <v>R</v>
      </c>
      <c r="F33" s="365"/>
      <c r="G33" s="366">
        <f t="shared" ca="1" si="2"/>
        <v>11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3.9">
      <c r="A34" s="223" t="s">
        <v>245</v>
      </c>
      <c r="B34" s="224" t="s">
        <v>141</v>
      </c>
      <c r="C34" s="224">
        <v>18</v>
      </c>
      <c r="D34" s="224" t="s">
        <v>246</v>
      </c>
      <c r="E34" s="225" t="str">
        <f t="shared" ca="1" si="1"/>
        <v>R</v>
      </c>
      <c r="F34" s="365"/>
      <c r="G34" s="366">
        <f t="shared" ca="1" si="2"/>
        <v>12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3.9">
      <c r="A35" s="223" t="s">
        <v>256</v>
      </c>
      <c r="B35" s="224" t="s">
        <v>141</v>
      </c>
      <c r="C35" s="224">
        <v>18</v>
      </c>
      <c r="D35" s="224" t="s">
        <v>257</v>
      </c>
      <c r="E35" s="225" t="str">
        <f t="shared" ca="1" si="1"/>
        <v>R</v>
      </c>
      <c r="F35" s="365"/>
      <c r="G35" s="366">
        <f t="shared" ca="1" si="2"/>
        <v>15</v>
      </c>
      <c r="H35" s="367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3.9">
      <c r="A36" s="223" t="s">
        <v>328</v>
      </c>
      <c r="B36" s="224" t="s">
        <v>141</v>
      </c>
      <c r="C36" s="224">
        <v>18</v>
      </c>
      <c r="D36" s="224" t="s">
        <v>331</v>
      </c>
      <c r="E36" s="225" t="str">
        <f t="shared" ca="1" si="1"/>
        <v>R</v>
      </c>
      <c r="F36" s="365"/>
      <c r="G36" s="366">
        <f t="shared" ca="1" si="2"/>
        <v>21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3.9">
      <c r="A37" s="223" t="s">
        <v>367</v>
      </c>
      <c r="B37" s="224" t="s">
        <v>141</v>
      </c>
      <c r="C37" s="224">
        <v>18</v>
      </c>
      <c r="D37" s="224" t="s">
        <v>368</v>
      </c>
      <c r="E37" s="225" t="str">
        <f t="shared" ca="1" si="1"/>
        <v>R</v>
      </c>
      <c r="F37" s="365"/>
      <c r="G37" s="366">
        <f t="shared" ca="1" si="2"/>
        <v>22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3.9">
      <c r="A38" s="223" t="s">
        <v>267</v>
      </c>
      <c r="B38" s="224" t="s">
        <v>141</v>
      </c>
      <c r="C38" s="224">
        <v>18</v>
      </c>
      <c r="D38" s="224" t="s">
        <v>268</v>
      </c>
      <c r="E38" s="225" t="str">
        <f t="shared" ca="1" si="1"/>
        <v>R</v>
      </c>
      <c r="F38" s="365"/>
      <c r="G38" s="366">
        <f t="shared" ca="1" si="2"/>
        <v>23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3.9">
      <c r="A39" s="223" t="s">
        <v>269</v>
      </c>
      <c r="B39" s="224" t="s">
        <v>141</v>
      </c>
      <c r="C39" s="224">
        <v>18</v>
      </c>
      <c r="D39" s="224" t="s">
        <v>270</v>
      </c>
      <c r="E39" s="225" t="str">
        <f t="shared" ca="1" si="1"/>
        <v>MR</v>
      </c>
      <c r="F39" s="365"/>
      <c r="G39" s="366">
        <f t="shared" ca="1" si="2"/>
        <v>24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3.9">
      <c r="A40" s="223" t="s">
        <v>352</v>
      </c>
      <c r="B40" s="224" t="s">
        <v>141</v>
      </c>
      <c r="C40" s="224">
        <v>18</v>
      </c>
      <c r="D40" s="224" t="s">
        <v>353</v>
      </c>
      <c r="E40" s="225" t="str">
        <f t="shared" ca="1" si="1"/>
        <v>R</v>
      </c>
      <c r="F40" s="365"/>
      <c r="G40" s="366">
        <f t="shared" ca="1" si="2"/>
        <v>26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277</v>
      </c>
      <c r="AR40" s="207" t="s">
        <v>139</v>
      </c>
      <c r="AS40" s="207">
        <v>20</v>
      </c>
      <c r="AT40" s="207" t="s">
        <v>278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3.9">
      <c r="A41" s="223" t="s">
        <v>387</v>
      </c>
      <c r="B41" s="224" t="s">
        <v>141</v>
      </c>
      <c r="C41" s="224">
        <v>18</v>
      </c>
      <c r="D41" s="224" t="s">
        <v>388</v>
      </c>
      <c r="E41" s="225" t="str">
        <f t="shared" ca="1" si="1"/>
        <v>R</v>
      </c>
      <c r="F41" s="365"/>
      <c r="G41" s="366">
        <f t="shared" ca="1" si="2"/>
        <v>58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299</v>
      </c>
      <c r="AR41" s="207" t="s">
        <v>141</v>
      </c>
      <c r="AS41" s="207">
        <v>18</v>
      </c>
      <c r="AT41" s="207" t="s">
        <v>300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1"/>
        <v>R</v>
      </c>
      <c r="F42" s="365"/>
      <c r="G42" s="366">
        <f t="shared" ca="1" si="2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382</v>
      </c>
      <c r="AR42" s="207" t="s">
        <v>140</v>
      </c>
      <c r="AS42" s="207">
        <v>19</v>
      </c>
      <c r="AT42" s="207" t="s">
        <v>383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1"/>
        <v>R</v>
      </c>
      <c r="F43" s="365"/>
      <c r="G43" s="366">
        <f t="shared" ca="1" si="2"/>
        <v>35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301</v>
      </c>
      <c r="AR43" s="207" t="s">
        <v>141</v>
      </c>
      <c r="AS43" s="207">
        <v>18</v>
      </c>
      <c r="AT43" s="207" t="s">
        <v>302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9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1"/>
        <v>MR</v>
      </c>
      <c r="F44" s="365"/>
      <c r="G44" s="366">
        <f t="shared" ca="1" si="2"/>
        <v>38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281</v>
      </c>
      <c r="AR44" s="207" t="s">
        <v>139</v>
      </c>
      <c r="AS44" s="207">
        <v>20</v>
      </c>
      <c r="AT44" s="207" t="s">
        <v>282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9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1"/>
        <v>R</v>
      </c>
      <c r="F45" s="365"/>
      <c r="G45" s="366">
        <f t="shared" ca="1" si="2"/>
        <v>40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303</v>
      </c>
      <c r="AR45" s="207" t="s">
        <v>141</v>
      </c>
      <c r="AS45" s="207">
        <v>18</v>
      </c>
      <c r="AT45" s="207" t="s">
        <v>304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9">
      <c r="A46" s="223" t="s">
        <v>303</v>
      </c>
      <c r="B46" s="224" t="s">
        <v>141</v>
      </c>
      <c r="C46" s="224">
        <v>18</v>
      </c>
      <c r="D46" s="224" t="s">
        <v>304</v>
      </c>
      <c r="E46" s="225" t="str">
        <f t="shared" ca="1" si="1"/>
        <v>R</v>
      </c>
      <c r="F46" s="365"/>
      <c r="G46" s="366">
        <f t="shared" ca="1" si="2"/>
        <v>42</v>
      </c>
      <c r="H46" s="367"/>
      <c r="I46" s="191"/>
      <c r="K46" s="191"/>
      <c r="N46" s="368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285</v>
      </c>
      <c r="AR46" s="207" t="s">
        <v>141</v>
      </c>
      <c r="AS46" s="207">
        <v>18</v>
      </c>
      <c r="AT46" s="207" t="s">
        <v>286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3.9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1"/>
        <v>R</v>
      </c>
      <c r="F47" s="365"/>
      <c r="G47" s="366">
        <f t="shared" ca="1" si="2"/>
        <v>43</v>
      </c>
      <c r="H47" s="367"/>
      <c r="I47" s="367"/>
      <c r="J47" s="187" t="s">
        <v>373</v>
      </c>
      <c r="K47" s="191"/>
      <c r="M47" s="368"/>
      <c r="N47" s="368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243</v>
      </c>
      <c r="AR47" s="207" t="s">
        <v>141</v>
      </c>
      <c r="AS47" s="207">
        <v>18</v>
      </c>
      <c r="AT47" s="207" t="s">
        <v>244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9">
      <c r="A48" s="223" t="s">
        <v>243</v>
      </c>
      <c r="B48" s="224" t="s">
        <v>141</v>
      </c>
      <c r="C48" s="224">
        <v>18</v>
      </c>
      <c r="D48" s="224" t="s">
        <v>244</v>
      </c>
      <c r="E48" s="225" t="str">
        <f t="shared" ca="1" si="1"/>
        <v>MR</v>
      </c>
      <c r="F48" s="365"/>
      <c r="G48" s="366">
        <f t="shared" ca="1" si="2"/>
        <v>44</v>
      </c>
      <c r="H48" s="367"/>
      <c r="I48" s="367"/>
      <c r="K48" s="191"/>
      <c r="M48" s="368"/>
      <c r="N48" s="368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289</v>
      </c>
      <c r="AR48" s="207" t="s">
        <v>140</v>
      </c>
      <c r="AS48" s="207">
        <v>19</v>
      </c>
      <c r="AT48" s="207" t="s">
        <v>290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3.9">
      <c r="A49" s="223" t="s">
        <v>389</v>
      </c>
      <c r="B49" s="224" t="s">
        <v>141</v>
      </c>
      <c r="C49" s="224">
        <v>18</v>
      </c>
      <c r="D49" s="224" t="s">
        <v>390</v>
      </c>
      <c r="E49" s="225" t="str">
        <f t="shared" ca="1" si="1"/>
        <v>R</v>
      </c>
      <c r="F49" s="365"/>
      <c r="G49" s="366">
        <f t="shared" ca="1" si="2"/>
        <v>50</v>
      </c>
      <c r="H49" s="367"/>
      <c r="I49" s="367"/>
      <c r="J49" s="191"/>
      <c r="K49" s="191"/>
      <c r="M49" s="368"/>
      <c r="N49" s="368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305</v>
      </c>
      <c r="AR49" s="207" t="s">
        <v>142</v>
      </c>
      <c r="AS49" s="207">
        <v>17</v>
      </c>
      <c r="AT49" s="207" t="s">
        <v>306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3.9">
      <c r="A50" s="223" t="s">
        <v>354</v>
      </c>
      <c r="B50" s="224" t="s">
        <v>141</v>
      </c>
      <c r="C50" s="224">
        <v>18</v>
      </c>
      <c r="D50" s="224" t="s">
        <v>355</v>
      </c>
      <c r="E50" s="225" t="str">
        <f t="shared" ca="1" si="1"/>
        <v>R</v>
      </c>
      <c r="F50" s="365"/>
      <c r="G50" s="366">
        <f t="shared" ca="1" si="2"/>
        <v>54</v>
      </c>
      <c r="H50" s="367"/>
      <c r="I50" s="367"/>
      <c r="J50" s="191"/>
      <c r="K50" s="191"/>
      <c r="M50" s="368"/>
      <c r="N50" s="368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347</v>
      </c>
      <c r="AR50" s="207" t="s">
        <v>140</v>
      </c>
      <c r="AS50" s="207">
        <v>19</v>
      </c>
      <c r="AT50" s="207" t="s">
        <v>348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3.9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1"/>
        <v>R</v>
      </c>
      <c r="F51" s="365"/>
      <c r="G51" s="366">
        <f t="shared" ca="1" si="2"/>
        <v>20</v>
      </c>
      <c r="H51" s="367"/>
      <c r="I51" s="367"/>
      <c r="J51" s="191"/>
      <c r="K51" s="191"/>
      <c r="M51" s="368"/>
      <c r="N51" s="368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291</v>
      </c>
      <c r="AR51" s="207" t="s">
        <v>140</v>
      </c>
      <c r="AS51" s="207">
        <v>19</v>
      </c>
      <c r="AT51" s="207" t="s">
        <v>292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1"/>
        <v>MR</v>
      </c>
      <c r="F52" s="365"/>
      <c r="G52" s="366">
        <f t="shared" ca="1" si="2"/>
        <v>25</v>
      </c>
      <c r="H52" s="367"/>
      <c r="I52" s="367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293</v>
      </c>
      <c r="AR52" s="207" t="s">
        <v>166</v>
      </c>
      <c r="AS52" s="207">
        <v>21</v>
      </c>
      <c r="AT52" s="207" t="s">
        <v>294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1"/>
        <v>MR</v>
      </c>
      <c r="F53" s="365"/>
      <c r="G53" s="366">
        <f t="shared" ca="1" si="2"/>
        <v>27</v>
      </c>
      <c r="H53" s="367"/>
      <c r="I53" s="367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369</v>
      </c>
      <c r="AR53" s="207" t="s">
        <v>140</v>
      </c>
      <c r="AS53" s="207">
        <v>19</v>
      </c>
      <c r="AT53" s="207" t="s">
        <v>375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9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1"/>
        <v>MR</v>
      </c>
      <c r="F54" s="365"/>
      <c r="G54" s="366">
        <f t="shared" ca="1" si="2"/>
        <v>33</v>
      </c>
      <c r="H54" s="367"/>
      <c r="I54" s="367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389</v>
      </c>
      <c r="AR54" s="207" t="s">
        <v>141</v>
      </c>
      <c r="AS54" s="207">
        <v>18</v>
      </c>
      <c r="AT54" s="207" t="s">
        <v>390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9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1"/>
        <v>R</v>
      </c>
      <c r="F55" s="365"/>
      <c r="G55" s="366">
        <f t="shared" ca="1" si="2"/>
        <v>63</v>
      </c>
      <c r="H55" s="367"/>
      <c r="I55" s="367"/>
      <c r="J55" s="191"/>
      <c r="K55" s="191"/>
      <c r="AF55" s="169">
        <f t="shared" si="3"/>
        <v>1</v>
      </c>
      <c r="AG55" s="169" t="str">
        <f t="shared" ca="1" si="4"/>
        <v/>
      </c>
      <c r="AH55" s="169" t="str">
        <f t="shared" ca="1" si="19"/>
        <v/>
      </c>
      <c r="AJ55" s="169">
        <f t="shared" ca="1" si="5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6"/>
        <v/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9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1"/>
        <v>R</v>
      </c>
      <c r="F56" s="365"/>
      <c r="G56" s="366">
        <f t="shared" ca="1" si="2"/>
        <v>61</v>
      </c>
      <c r="H56" s="367"/>
      <c r="I56" s="367"/>
      <c r="J56" s="191"/>
      <c r="K56" s="191"/>
      <c r="AF56" s="169">
        <f t="shared" si="3"/>
        <v>0</v>
      </c>
      <c r="AG56" s="169" t="str">
        <f t="shared" ca="1" si="4"/>
        <v/>
      </c>
      <c r="AH56" s="169" t="str">
        <f t="shared" ca="1" si="19"/>
        <v/>
      </c>
      <c r="AJ56" s="169">
        <f t="shared" ca="1" si="5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6"/>
        <v/>
      </c>
      <c r="AQ56" s="207" t="s">
        <v>354</v>
      </c>
      <c r="AR56" s="207" t="s">
        <v>141</v>
      </c>
      <c r="AS56" s="207">
        <v>18</v>
      </c>
      <c r="AT56" s="207" t="s">
        <v>355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9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1"/>
        <v>R</v>
      </c>
      <c r="F57" s="365"/>
      <c r="G57" s="366">
        <f t="shared" ca="1" si="2"/>
        <v>59</v>
      </c>
      <c r="H57" s="367"/>
      <c r="I57" s="367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9">
      <c r="A58" s="223" t="s">
        <v>371</v>
      </c>
      <c r="B58" s="224" t="s">
        <v>189</v>
      </c>
      <c r="C58" s="224">
        <v>8</v>
      </c>
      <c r="D58" s="224" t="s">
        <v>359</v>
      </c>
      <c r="E58" s="225" t="str">
        <f t="shared" ca="1" si="1"/>
        <v>D</v>
      </c>
      <c r="F58" s="365"/>
      <c r="G58" s="366">
        <f t="shared" ca="1" si="2"/>
        <v>60</v>
      </c>
      <c r="H58" s="367"/>
      <c r="I58" s="367"/>
      <c r="J58" s="191"/>
      <c r="K58" s="191"/>
      <c r="AF58" s="169">
        <f t="shared" si="3"/>
        <v>0</v>
      </c>
      <c r="AG58" s="169" t="str">
        <f t="shared" ca="1" si="4"/>
        <v/>
      </c>
      <c r="AH58" s="169" t="str">
        <f t="shared" ca="1" si="19"/>
        <v/>
      </c>
      <c r="AJ58" s="169">
        <f t="shared" ca="1" si="5"/>
        <v>58</v>
      </c>
      <c r="AK58" s="169" t="str">
        <f t="shared" ca="1" si="20"/>
        <v>CCC-</v>
      </c>
      <c r="AL58" s="169">
        <f t="shared" ca="1" si="20"/>
        <v>8</v>
      </c>
      <c r="AM58" s="169" t="str">
        <f t="shared" ca="1" si="6"/>
        <v/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3.9">
      <c r="A59" s="223"/>
      <c r="B59" s="224"/>
      <c r="C59" s="224"/>
      <c r="D59" s="224"/>
      <c r="E59" s="225"/>
      <c r="F59" s="365"/>
      <c r="G59" s="366" t="str">
        <f t="shared" ca="1" si="2"/>
        <v/>
      </c>
      <c r="H59" s="367"/>
      <c r="I59" s="367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2"/>
        <v/>
      </c>
      <c r="H60" s="367"/>
      <c r="I60" s="367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2"/>
        <v/>
      </c>
      <c r="H61" s="367"/>
      <c r="I61" s="367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2"/>
        <v>31</v>
      </c>
      <c r="H62" s="367"/>
      <c r="I62" s="367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 t="s">
        <v>399</v>
      </c>
      <c r="B63" s="224" t="s">
        <v>141</v>
      </c>
      <c r="C63" s="224">
        <v>18</v>
      </c>
      <c r="D63" s="224" t="s">
        <v>400</v>
      </c>
      <c r="E63" s="225" t="str">
        <f ca="1">OFFSET( INDIRECT( E$3 &amp; E$4 ), $G63 - 1, 0 )</f>
        <v>R</v>
      </c>
      <c r="F63" s="365"/>
      <c r="G63" s="366">
        <f t="shared" ca="1" si="2"/>
        <v>52</v>
      </c>
      <c r="H63" s="367"/>
      <c r="I63" s="367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65"/>
      <c r="G64" s="366">
        <f t="shared" ca="1" si="2"/>
        <v>51</v>
      </c>
      <c r="H64" s="367"/>
      <c r="I64" s="367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402</v>
      </c>
      <c r="AR67" s="207" t="s">
        <v>141</v>
      </c>
      <c r="AS67" s="207">
        <v>18</v>
      </c>
      <c r="AT67" s="207" t="s">
        <v>400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18.444444444444443</v>
      </c>
      <c r="D68" s="201"/>
      <c r="E68" s="201"/>
      <c r="F68" s="367"/>
      <c r="H68" s="367"/>
      <c r="I68" s="367"/>
      <c r="J68" s="368"/>
      <c r="K68" s="368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5" t="s">
        <v>403</v>
      </c>
      <c r="D74" s="204"/>
      <c r="F74" s="206"/>
      <c r="H74" s="206"/>
      <c r="I74" s="206"/>
    </row>
    <row r="75" spans="1:58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>
      <c r="A76" s="203" t="s">
        <v>316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AQ77" s="207"/>
      <c r="AR77" s="207"/>
      <c r="AS77" s="207"/>
    </row>
    <row r="78" spans="1:58">
      <c r="C78" s="190">
        <f>SUMPRODUCT( L8:L13, Y8:Y13 ) / L14</f>
        <v>18.574074074074073</v>
      </c>
      <c r="E78" s="191"/>
      <c r="G78" s="370"/>
      <c r="J78" s="173"/>
      <c r="K78" s="173"/>
      <c r="AQ78" s="207"/>
      <c r="AR78" s="207"/>
      <c r="AS78" s="207"/>
    </row>
    <row r="79" spans="1:58" s="173" customFormat="1" ht="13.9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-- 2013 Q4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>G2</f>
        <v>Reg_Percent_2012</v>
      </c>
      <c r="G2" s="172" t="s">
        <v>405</v>
      </c>
      <c r="AJ2" s="173" t="str">
        <f>AJ4 &amp; AJ3</f>
        <v>'Credit_2013Q3'!a:a</v>
      </c>
      <c r="AK2" s="173" t="str">
        <f>AK4 &amp; AK3</f>
        <v>'Credit_2013Q3'!b1</v>
      </c>
      <c r="AL2" s="173" t="str">
        <f>AL4 &amp; AL3</f>
        <v>'Credit_2013Q3'!c1</v>
      </c>
      <c r="AQ2" s="169"/>
    </row>
    <row r="3" spans="1:61" ht="18" hidden="1" outlineLevel="1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'Credit_2013Q3'!</v>
      </c>
      <c r="AK4" s="169" t="str">
        <f t="shared" ref="AK4:AL4" si="0">$AQ$5</f>
        <v>'Credit_2013Q3'!</v>
      </c>
      <c r="AL4" s="169" t="str">
        <f t="shared" si="0"/>
        <v>'Credit_2013Q3'!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(54)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409</v>
      </c>
    </row>
    <row r="6" spans="1:61" ht="28.5" customHeight="1">
      <c r="A6" s="219" t="s">
        <v>212</v>
      </c>
      <c r="B6" s="220" t="s">
        <v>55</v>
      </c>
      <c r="C6" s="249" t="s">
        <v>214</v>
      </c>
      <c r="D6" s="221"/>
      <c r="E6" s="222">
        <v>41274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8" ca="1" si="1">OFFSET( INDIRECT( E$3 &amp; E$4 ), $G7 - 1, 0 )</f>
        <v>R</v>
      </c>
      <c r="F7" s="365"/>
      <c r="G7" s="366">
        <f t="shared" ref="G7:G64" ca="1" si="2">IF( LEN( $D7 ) = 0, "", MATCH( $D7, INDIRECT( G$3 &amp; G$4 ), 0 ) )</f>
        <v>48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1"/>
        <v>R</v>
      </c>
      <c r="F8" s="365"/>
      <c r="G8" s="366">
        <f t="shared" ca="1" si="2"/>
        <v>8</v>
      </c>
      <c r="H8" s="367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1"/>
        <v>MR</v>
      </c>
      <c r="F9" s="365"/>
      <c r="G9" s="366">
        <f t="shared" ca="1" si="2"/>
        <v>13</v>
      </c>
      <c r="H9" s="367"/>
      <c r="I9" s="234"/>
      <c r="J9" s="215" t="s">
        <v>139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68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1"/>
        <v>R</v>
      </c>
      <c r="F10" s="365"/>
      <c r="G10" s="366">
        <f t="shared" ca="1" si="2"/>
        <v>16</v>
      </c>
      <c r="H10" s="367"/>
      <c r="I10" s="234"/>
      <c r="J10" s="215" t="s">
        <v>140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1"/>
        <v>MR</v>
      </c>
      <c r="F11" s="365"/>
      <c r="G11" s="366">
        <f t="shared" ca="1" si="2"/>
        <v>17</v>
      </c>
      <c r="H11" s="367"/>
      <c r="I11" s="234"/>
      <c r="J11" s="215" t="s">
        <v>141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9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1"/>
        <v>R</v>
      </c>
      <c r="F12" s="365"/>
      <c r="G12" s="366">
        <f t="shared" ca="1" si="2"/>
        <v>29</v>
      </c>
      <c r="H12" s="367"/>
      <c r="I12" s="234"/>
      <c r="J12" s="215" t="s">
        <v>142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245</v>
      </c>
      <c r="AR12" s="207" t="s">
        <v>141</v>
      </c>
      <c r="AS12" s="207">
        <v>18</v>
      </c>
      <c r="AT12" s="207" t="s">
        <v>246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1"/>
        <v>MR</v>
      </c>
      <c r="F13" s="365"/>
      <c r="G13" s="366">
        <f t="shared" ca="1" si="2"/>
        <v>32</v>
      </c>
      <c r="H13" s="367"/>
      <c r="I13" s="235"/>
      <c r="J13" s="217" t="s">
        <v>143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9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1"/>
        <v>R</v>
      </c>
      <c r="F14" s="365"/>
      <c r="G14" s="366">
        <f t="shared" ca="1" si="2"/>
        <v>34</v>
      </c>
      <c r="H14" s="367"/>
      <c r="I14" s="236"/>
      <c r="J14" s="211" t="s">
        <v>144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254</v>
      </c>
      <c r="AR14" s="207" t="s">
        <v>140</v>
      </c>
      <c r="AS14" s="207">
        <v>19</v>
      </c>
      <c r="AT14" s="207" t="s">
        <v>378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1"/>
        <v>MR</v>
      </c>
      <c r="F15" s="365"/>
      <c r="G15" s="366">
        <f t="shared" ca="1" si="2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9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1"/>
        <v>R</v>
      </c>
      <c r="F16" s="365"/>
      <c r="G16" s="366">
        <f t="shared" ca="1" si="2"/>
        <v>41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18.444444444444443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18.457142857142856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13.5</v>
      </c>
      <c r="V16" s="356"/>
      <c r="W16" s="232"/>
      <c r="AE16" s="184"/>
      <c r="AF16" s="169">
        <f t="shared" si="3"/>
        <v>0</v>
      </c>
      <c r="AG16" s="169">
        <f t="shared" ca="1" si="4"/>
        <v>1</v>
      </c>
      <c r="AH16" s="169" t="str">
        <f t="shared" ca="1" si="19"/>
        <v/>
      </c>
      <c r="AJ16" s="169">
        <f t="shared" ca="1" si="5"/>
        <v>26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6"/>
        <v>Change</v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3.9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1"/>
        <v>MR</v>
      </c>
      <c r="F17" s="365"/>
      <c r="G17" s="366">
        <f t="shared" ca="1" si="2"/>
        <v>53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3.9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1"/>
        <v>R</v>
      </c>
      <c r="F18" s="365"/>
      <c r="G18" s="366">
        <f t="shared" ca="1" si="2"/>
        <v>55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3.9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1"/>
        <v>R</v>
      </c>
      <c r="F19" s="365"/>
      <c r="G19" s="366">
        <f t="shared" ca="1" si="2"/>
        <v>56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3.9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1"/>
        <v>R</v>
      </c>
      <c r="F20" s="365"/>
      <c r="G20" s="366">
        <f t="shared" ca="1" si="2"/>
        <v>7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3.9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1"/>
        <v>R</v>
      </c>
      <c r="F21" s="365"/>
      <c r="G21" s="366">
        <f t="shared" ca="1" si="2"/>
        <v>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>
        <f t="shared" ca="1" si="4"/>
        <v>1</v>
      </c>
      <c r="AH21" s="169" t="str">
        <f t="shared" ca="1" si="19"/>
        <v/>
      </c>
      <c r="AJ21" s="169">
        <f t="shared" ca="1" si="5"/>
        <v>31</v>
      </c>
      <c r="AK21" s="169" t="str">
        <f t="shared" ca="1" si="20"/>
        <v>BBB</v>
      </c>
      <c r="AL21" s="169">
        <f t="shared" ca="1" si="20"/>
        <v>18</v>
      </c>
      <c r="AM21" s="169" t="str">
        <f t="shared" ca="1" si="6"/>
        <v>Change</v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3.9">
      <c r="A22" s="223" t="s">
        <v>254</v>
      </c>
      <c r="B22" s="224" t="s">
        <v>140</v>
      </c>
      <c r="C22" s="224">
        <v>19</v>
      </c>
      <c r="D22" s="224" t="s">
        <v>378</v>
      </c>
      <c r="E22" s="225" t="str">
        <f t="shared" ca="1" si="1"/>
        <v>R</v>
      </c>
      <c r="F22" s="365"/>
      <c r="G22" s="366">
        <f t="shared" ca="1" si="2"/>
        <v>14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20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3.9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1"/>
        <v>R</v>
      </c>
      <c r="F23" s="365"/>
      <c r="G23" s="366">
        <f t="shared" ca="1" si="2"/>
        <v>18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21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3.9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1"/>
        <v>R</v>
      </c>
      <c r="F24" s="365"/>
      <c r="G24" s="366">
        <f t="shared" ca="1" si="2"/>
        <v>19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22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371</v>
      </c>
      <c r="AR24" s="207" t="s">
        <v>189</v>
      </c>
      <c r="AS24" s="207">
        <v>8</v>
      </c>
      <c r="AT24" s="207" t="s">
        <v>359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3.9">
      <c r="A25" s="223" t="s">
        <v>271</v>
      </c>
      <c r="B25" s="224" t="s">
        <v>140</v>
      </c>
      <c r="C25" s="224">
        <v>19</v>
      </c>
      <c r="D25" s="224" t="s">
        <v>272</v>
      </c>
      <c r="E25" s="225" t="str">
        <f t="shared" ca="1" si="1"/>
        <v>D</v>
      </c>
      <c r="F25" s="365"/>
      <c r="G25" s="366">
        <f t="shared" ca="1" si="2"/>
        <v>30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23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3.9">
      <c r="A26" s="223" t="s">
        <v>408</v>
      </c>
      <c r="B26" s="224" t="s">
        <v>140</v>
      </c>
      <c r="C26" s="224">
        <v>19</v>
      </c>
      <c r="D26" s="224" t="s">
        <v>216</v>
      </c>
      <c r="E26" s="225" t="str">
        <f t="shared" ca="1" si="1"/>
        <v>MR</v>
      </c>
      <c r="F26" s="365"/>
      <c r="G26" s="366">
        <f t="shared" ca="1" si="2"/>
        <v>62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24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3.9">
      <c r="A27" s="223" t="s">
        <v>382</v>
      </c>
      <c r="B27" s="224" t="s">
        <v>140</v>
      </c>
      <c r="C27" s="224">
        <v>19</v>
      </c>
      <c r="D27" s="224" t="s">
        <v>383</v>
      </c>
      <c r="E27" s="225" t="str">
        <f t="shared" ca="1" si="1"/>
        <v>MR</v>
      </c>
      <c r="F27" s="365"/>
      <c r="G27" s="366">
        <f t="shared" ca="1" si="2"/>
        <v>39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25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3.9">
      <c r="A28" s="223" t="s">
        <v>289</v>
      </c>
      <c r="B28" s="224" t="s">
        <v>140</v>
      </c>
      <c r="C28" s="224">
        <v>19</v>
      </c>
      <c r="D28" s="224" t="s">
        <v>290</v>
      </c>
      <c r="E28" s="225" t="str">
        <f t="shared" ca="1" si="1"/>
        <v>MR</v>
      </c>
      <c r="F28" s="365"/>
      <c r="G28" s="366">
        <f t="shared" ca="1" si="2"/>
        <v>45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3.9">
      <c r="A29" s="223" t="s">
        <v>347</v>
      </c>
      <c r="B29" s="224" t="s">
        <v>140</v>
      </c>
      <c r="C29" s="224">
        <v>19</v>
      </c>
      <c r="D29" s="224" t="s">
        <v>348</v>
      </c>
      <c r="E29" s="225" t="str">
        <f t="shared" ca="1" si="1"/>
        <v>MR</v>
      </c>
      <c r="F29" s="365"/>
      <c r="G29" s="366">
        <f t="shared" ca="1" si="2"/>
        <v>46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3.9">
      <c r="A30" s="223" t="s">
        <v>291</v>
      </c>
      <c r="B30" s="224" t="s">
        <v>140</v>
      </c>
      <c r="C30" s="224">
        <v>19</v>
      </c>
      <c r="D30" s="224" t="s">
        <v>292</v>
      </c>
      <c r="E30" s="225" t="str">
        <f t="shared" ca="1" si="1"/>
        <v>MR</v>
      </c>
      <c r="F30" s="365"/>
      <c r="G30" s="366">
        <f t="shared" ca="1" si="2"/>
        <v>47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3.9">
      <c r="A31" s="223" t="s">
        <v>369</v>
      </c>
      <c r="B31" s="224" t="s">
        <v>140</v>
      </c>
      <c r="C31" s="224">
        <v>19</v>
      </c>
      <c r="D31" s="224" t="s">
        <v>375</v>
      </c>
      <c r="E31" s="225" t="str">
        <f t="shared" ca="1" si="1"/>
        <v>R</v>
      </c>
      <c r="F31" s="365"/>
      <c r="G31" s="366">
        <f t="shared" ca="1" si="2"/>
        <v>49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3.9">
      <c r="A32" s="223" t="s">
        <v>222</v>
      </c>
      <c r="B32" s="224" t="s">
        <v>141</v>
      </c>
      <c r="C32" s="224">
        <v>18</v>
      </c>
      <c r="D32" s="224" t="s">
        <v>223</v>
      </c>
      <c r="E32" s="225" t="str">
        <f t="shared" ca="1" si="1"/>
        <v>R</v>
      </c>
      <c r="F32" s="365"/>
      <c r="G32" s="366">
        <f t="shared" ca="1" si="2"/>
        <v>10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3.9">
      <c r="A33" s="223" t="s">
        <v>238</v>
      </c>
      <c r="B33" s="224" t="s">
        <v>141</v>
      </c>
      <c r="C33" s="224">
        <v>18</v>
      </c>
      <c r="D33" s="224" t="s">
        <v>239</v>
      </c>
      <c r="E33" s="225" t="str">
        <f t="shared" ca="1" si="1"/>
        <v>R</v>
      </c>
      <c r="F33" s="365"/>
      <c r="G33" s="366">
        <f t="shared" ca="1" si="2"/>
        <v>11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3.9">
      <c r="A34" s="223" t="s">
        <v>245</v>
      </c>
      <c r="B34" s="224" t="s">
        <v>141</v>
      </c>
      <c r="C34" s="224">
        <v>18</v>
      </c>
      <c r="D34" s="224" t="s">
        <v>246</v>
      </c>
      <c r="E34" s="225" t="str">
        <f t="shared" ca="1" si="1"/>
        <v>R</v>
      </c>
      <c r="F34" s="365"/>
      <c r="G34" s="366">
        <f t="shared" ca="1" si="2"/>
        <v>12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3.9">
      <c r="A35" s="223" t="s">
        <v>256</v>
      </c>
      <c r="B35" s="224" t="s">
        <v>141</v>
      </c>
      <c r="C35" s="224">
        <v>18</v>
      </c>
      <c r="D35" s="224" t="s">
        <v>257</v>
      </c>
      <c r="E35" s="225" t="str">
        <f t="shared" ca="1" si="1"/>
        <v>R</v>
      </c>
      <c r="F35" s="365"/>
      <c r="G35" s="366">
        <f t="shared" ca="1" si="2"/>
        <v>15</v>
      </c>
      <c r="H35" s="367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3.9">
      <c r="A36" s="223" t="s">
        <v>328</v>
      </c>
      <c r="B36" s="224" t="s">
        <v>141</v>
      </c>
      <c r="C36" s="224">
        <v>18</v>
      </c>
      <c r="D36" s="224" t="s">
        <v>331</v>
      </c>
      <c r="E36" s="225" t="str">
        <f t="shared" ca="1" si="1"/>
        <v>R</v>
      </c>
      <c r="F36" s="365"/>
      <c r="G36" s="366">
        <f t="shared" ca="1" si="2"/>
        <v>21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3.9">
      <c r="A37" s="223" t="s">
        <v>367</v>
      </c>
      <c r="B37" s="224" t="s">
        <v>141</v>
      </c>
      <c r="C37" s="224">
        <v>18</v>
      </c>
      <c r="D37" s="224" t="s">
        <v>368</v>
      </c>
      <c r="E37" s="225" t="str">
        <f t="shared" ca="1" si="1"/>
        <v>R</v>
      </c>
      <c r="F37" s="365"/>
      <c r="G37" s="366">
        <f t="shared" ca="1" si="2"/>
        <v>22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3.9">
      <c r="A38" s="223" t="s">
        <v>267</v>
      </c>
      <c r="B38" s="224" t="s">
        <v>141</v>
      </c>
      <c r="C38" s="224">
        <v>18</v>
      </c>
      <c r="D38" s="224" t="s">
        <v>268</v>
      </c>
      <c r="E38" s="225" t="str">
        <f t="shared" ca="1" si="1"/>
        <v>R</v>
      </c>
      <c r="F38" s="365"/>
      <c r="G38" s="366">
        <f t="shared" ca="1" si="2"/>
        <v>23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3.9">
      <c r="A39" s="223" t="s">
        <v>269</v>
      </c>
      <c r="B39" s="224" t="s">
        <v>141</v>
      </c>
      <c r="C39" s="224">
        <v>18</v>
      </c>
      <c r="D39" s="224" t="s">
        <v>270</v>
      </c>
      <c r="E39" s="225" t="str">
        <f t="shared" ca="1" si="1"/>
        <v>MR</v>
      </c>
      <c r="F39" s="365"/>
      <c r="G39" s="366">
        <f t="shared" ca="1" si="2"/>
        <v>24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3.9">
      <c r="A40" s="223" t="s">
        <v>352</v>
      </c>
      <c r="B40" s="224" t="s">
        <v>141</v>
      </c>
      <c r="C40" s="224">
        <v>18</v>
      </c>
      <c r="D40" s="224" t="s">
        <v>353</v>
      </c>
      <c r="E40" s="225" t="str">
        <f t="shared" ca="1" si="1"/>
        <v>R</v>
      </c>
      <c r="F40" s="365"/>
      <c r="G40" s="366">
        <f t="shared" ca="1" si="2"/>
        <v>26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277</v>
      </c>
      <c r="AR40" s="207" t="s">
        <v>139</v>
      </c>
      <c r="AS40" s="207">
        <v>20</v>
      </c>
      <c r="AT40" s="207" t="s">
        <v>278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3.9">
      <c r="A41" s="223" t="s">
        <v>387</v>
      </c>
      <c r="B41" s="224" t="s">
        <v>141</v>
      </c>
      <c r="C41" s="224">
        <v>18</v>
      </c>
      <c r="D41" s="224" t="s">
        <v>388</v>
      </c>
      <c r="E41" s="225" t="str">
        <f t="shared" ca="1" si="1"/>
        <v>R</v>
      </c>
      <c r="F41" s="365"/>
      <c r="G41" s="366">
        <f t="shared" ca="1" si="2"/>
        <v>58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299</v>
      </c>
      <c r="AR41" s="207" t="s">
        <v>141</v>
      </c>
      <c r="AS41" s="207">
        <v>18</v>
      </c>
      <c r="AT41" s="207" t="s">
        <v>300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1"/>
        <v>R</v>
      </c>
      <c r="F42" s="365"/>
      <c r="G42" s="366">
        <f t="shared" ca="1" si="2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382</v>
      </c>
      <c r="AR42" s="207" t="s">
        <v>140</v>
      </c>
      <c r="AS42" s="207">
        <v>19</v>
      </c>
      <c r="AT42" s="207" t="s">
        <v>383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9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1"/>
        <v>R</v>
      </c>
      <c r="F43" s="365"/>
      <c r="G43" s="366">
        <f t="shared" ca="1" si="2"/>
        <v>35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301</v>
      </c>
      <c r="AR43" s="207" t="s">
        <v>141</v>
      </c>
      <c r="AS43" s="207">
        <v>18</v>
      </c>
      <c r="AT43" s="207" t="s">
        <v>302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9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1"/>
        <v>MR</v>
      </c>
      <c r="F44" s="365"/>
      <c r="G44" s="366">
        <f t="shared" ca="1" si="2"/>
        <v>38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281</v>
      </c>
      <c r="AR44" s="207" t="s">
        <v>139</v>
      </c>
      <c r="AS44" s="207">
        <v>20</v>
      </c>
      <c r="AT44" s="207" t="s">
        <v>282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9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1"/>
        <v>R</v>
      </c>
      <c r="F45" s="365"/>
      <c r="G45" s="366">
        <f t="shared" ca="1" si="2"/>
        <v>40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303</v>
      </c>
      <c r="AR45" s="207" t="s">
        <v>141</v>
      </c>
      <c r="AS45" s="207">
        <v>18</v>
      </c>
      <c r="AT45" s="207" t="s">
        <v>304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9">
      <c r="A46" s="223" t="s">
        <v>303</v>
      </c>
      <c r="B46" s="224" t="s">
        <v>141</v>
      </c>
      <c r="C46" s="224">
        <v>18</v>
      </c>
      <c r="D46" s="224" t="s">
        <v>304</v>
      </c>
      <c r="E46" s="225" t="str">
        <f t="shared" ca="1" si="1"/>
        <v>R</v>
      </c>
      <c r="F46" s="365"/>
      <c r="G46" s="366">
        <f t="shared" ca="1" si="2"/>
        <v>42</v>
      </c>
      <c r="H46" s="367"/>
      <c r="I46" s="191"/>
      <c r="K46" s="191"/>
      <c r="N46" s="368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285</v>
      </c>
      <c r="AR46" s="207" t="s">
        <v>141</v>
      </c>
      <c r="AS46" s="207">
        <v>18</v>
      </c>
      <c r="AT46" s="207" t="s">
        <v>286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3.9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1"/>
        <v>R</v>
      </c>
      <c r="F47" s="365"/>
      <c r="G47" s="366">
        <f t="shared" ca="1" si="2"/>
        <v>43</v>
      </c>
      <c r="H47" s="367"/>
      <c r="I47" s="367"/>
      <c r="J47" s="187" t="s">
        <v>373</v>
      </c>
      <c r="K47" s="191"/>
      <c r="M47" s="368"/>
      <c r="N47" s="368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243</v>
      </c>
      <c r="AR47" s="207" t="s">
        <v>141</v>
      </c>
      <c r="AS47" s="207">
        <v>18</v>
      </c>
      <c r="AT47" s="207" t="s">
        <v>244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9">
      <c r="A48" s="223" t="s">
        <v>243</v>
      </c>
      <c r="B48" s="224" t="s">
        <v>141</v>
      </c>
      <c r="C48" s="224">
        <v>18</v>
      </c>
      <c r="D48" s="224" t="s">
        <v>244</v>
      </c>
      <c r="E48" s="225" t="str">
        <f t="shared" ca="1" si="1"/>
        <v>MR</v>
      </c>
      <c r="F48" s="365"/>
      <c r="G48" s="366">
        <f t="shared" ca="1" si="2"/>
        <v>44</v>
      </c>
      <c r="H48" s="367"/>
      <c r="I48" s="367"/>
      <c r="K48" s="191"/>
      <c r="M48" s="368"/>
      <c r="N48" s="368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289</v>
      </c>
      <c r="AR48" s="207" t="s">
        <v>140</v>
      </c>
      <c r="AS48" s="207">
        <v>19</v>
      </c>
      <c r="AT48" s="207" t="s">
        <v>290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3.9">
      <c r="A49" s="223" t="s">
        <v>389</v>
      </c>
      <c r="B49" s="224" t="s">
        <v>141</v>
      </c>
      <c r="C49" s="224">
        <v>18</v>
      </c>
      <c r="D49" s="224" t="s">
        <v>390</v>
      </c>
      <c r="E49" s="225" t="str">
        <f t="shared" ca="1" si="1"/>
        <v>R</v>
      </c>
      <c r="F49" s="365"/>
      <c r="G49" s="366">
        <f t="shared" ca="1" si="2"/>
        <v>50</v>
      </c>
      <c r="H49" s="367"/>
      <c r="I49" s="367"/>
      <c r="J49" s="191"/>
      <c r="K49" s="191"/>
      <c r="M49" s="368"/>
      <c r="N49" s="368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305</v>
      </c>
      <c r="AR49" s="207" t="s">
        <v>142</v>
      </c>
      <c r="AS49" s="207">
        <v>17</v>
      </c>
      <c r="AT49" s="207" t="s">
        <v>306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3.9">
      <c r="A50" s="223" t="s">
        <v>354</v>
      </c>
      <c r="B50" s="224" t="s">
        <v>141</v>
      </c>
      <c r="C50" s="224">
        <v>18</v>
      </c>
      <c r="D50" s="224" t="s">
        <v>355</v>
      </c>
      <c r="E50" s="225" t="str">
        <f t="shared" ca="1" si="1"/>
        <v>R</v>
      </c>
      <c r="F50" s="365"/>
      <c r="G50" s="366">
        <f t="shared" ca="1" si="2"/>
        <v>54</v>
      </c>
      <c r="H50" s="367"/>
      <c r="I50" s="367"/>
      <c r="J50" s="191"/>
      <c r="K50" s="191"/>
      <c r="M50" s="368"/>
      <c r="N50" s="368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347</v>
      </c>
      <c r="AR50" s="207" t="s">
        <v>140</v>
      </c>
      <c r="AS50" s="207">
        <v>19</v>
      </c>
      <c r="AT50" s="207" t="s">
        <v>348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3.9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1"/>
        <v>R</v>
      </c>
      <c r="F51" s="365"/>
      <c r="G51" s="366">
        <f t="shared" ca="1" si="2"/>
        <v>20</v>
      </c>
      <c r="H51" s="367"/>
      <c r="I51" s="367"/>
      <c r="J51" s="191"/>
      <c r="K51" s="191"/>
      <c r="M51" s="368"/>
      <c r="N51" s="368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291</v>
      </c>
      <c r="AR51" s="207" t="s">
        <v>140</v>
      </c>
      <c r="AS51" s="207">
        <v>19</v>
      </c>
      <c r="AT51" s="207" t="s">
        <v>292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1"/>
        <v>MR</v>
      </c>
      <c r="F52" s="365"/>
      <c r="G52" s="366">
        <f t="shared" ca="1" si="2"/>
        <v>25</v>
      </c>
      <c r="H52" s="367"/>
      <c r="I52" s="367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293</v>
      </c>
      <c r="AR52" s="207" t="s">
        <v>166</v>
      </c>
      <c r="AS52" s="207">
        <v>21</v>
      </c>
      <c r="AT52" s="207" t="s">
        <v>294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1"/>
        <v>MR</v>
      </c>
      <c r="F53" s="365"/>
      <c r="G53" s="366">
        <f t="shared" ca="1" si="2"/>
        <v>27</v>
      </c>
      <c r="H53" s="367"/>
      <c r="I53" s="367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369</v>
      </c>
      <c r="AR53" s="207" t="s">
        <v>140</v>
      </c>
      <c r="AS53" s="207">
        <v>19</v>
      </c>
      <c r="AT53" s="207" t="s">
        <v>375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9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1"/>
        <v>MR</v>
      </c>
      <c r="F54" s="365"/>
      <c r="G54" s="366">
        <f t="shared" ca="1" si="2"/>
        <v>33</v>
      </c>
      <c r="H54" s="367"/>
      <c r="I54" s="367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389</v>
      </c>
      <c r="AR54" s="207" t="s">
        <v>141</v>
      </c>
      <c r="AS54" s="207">
        <v>18</v>
      </c>
      <c r="AT54" s="207" t="s">
        <v>390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9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1"/>
        <v>R</v>
      </c>
      <c r="F55" s="365"/>
      <c r="G55" s="366">
        <f t="shared" ca="1" si="2"/>
        <v>63</v>
      </c>
      <c r="H55" s="367"/>
      <c r="I55" s="367"/>
      <c r="J55" s="191"/>
      <c r="K55" s="191"/>
      <c r="AF55" s="169">
        <f t="shared" si="3"/>
        <v>1</v>
      </c>
      <c r="AG55" s="169">
        <f t="shared" ca="1" si="4"/>
        <v>1</v>
      </c>
      <c r="AH55" s="169" t="str">
        <f t="shared" ca="1" si="19"/>
        <v/>
      </c>
      <c r="AJ55" s="169">
        <f t="shared" ca="1" si="5"/>
        <v>57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6"/>
        <v>Change</v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9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1"/>
        <v>R</v>
      </c>
      <c r="F56" s="365"/>
      <c r="G56" s="366">
        <f t="shared" ca="1" si="2"/>
        <v>61</v>
      </c>
      <c r="H56" s="367"/>
      <c r="I56" s="367"/>
      <c r="J56" s="191"/>
      <c r="K56" s="191"/>
      <c r="AF56" s="169">
        <f t="shared" si="3"/>
        <v>0</v>
      </c>
      <c r="AG56" s="169" t="str">
        <f t="shared" ca="1" si="4"/>
        <v/>
      </c>
      <c r="AH56" s="169">
        <f t="shared" ca="1" si="19"/>
        <v>1</v>
      </c>
      <c r="AJ56" s="169">
        <f t="shared" ca="1" si="5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6"/>
        <v>Change</v>
      </c>
      <c r="AQ56" s="207" t="s">
        <v>354</v>
      </c>
      <c r="AR56" s="207" t="s">
        <v>141</v>
      </c>
      <c r="AS56" s="207">
        <v>18</v>
      </c>
      <c r="AT56" s="207" t="s">
        <v>355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9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1"/>
        <v>R</v>
      </c>
      <c r="F57" s="365"/>
      <c r="G57" s="366">
        <f t="shared" ca="1" si="2"/>
        <v>59</v>
      </c>
      <c r="H57" s="367"/>
      <c r="I57" s="367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9">
      <c r="A58" s="223" t="s">
        <v>371</v>
      </c>
      <c r="B58" s="224" t="s">
        <v>189</v>
      </c>
      <c r="C58" s="224">
        <v>8</v>
      </c>
      <c r="D58" s="224" t="s">
        <v>359</v>
      </c>
      <c r="E58" s="225" t="str">
        <f t="shared" ca="1" si="1"/>
        <v>D</v>
      </c>
      <c r="F58" s="365"/>
      <c r="G58" s="366">
        <f t="shared" ca="1" si="2"/>
        <v>60</v>
      </c>
      <c r="H58" s="367"/>
      <c r="I58" s="367"/>
      <c r="J58" s="191"/>
      <c r="K58" s="191"/>
      <c r="AF58" s="169">
        <f t="shared" si="3"/>
        <v>0</v>
      </c>
      <c r="AG58" s="169" t="str">
        <f t="shared" ca="1" si="4"/>
        <v/>
      </c>
      <c r="AH58" s="169">
        <f t="shared" ca="1" si="19"/>
        <v>1</v>
      </c>
      <c r="AJ58" s="169">
        <f t="shared" ca="1" si="5"/>
        <v>59</v>
      </c>
      <c r="AK58" s="169" t="str">
        <f t="shared" ca="1" si="20"/>
        <v>CCC</v>
      </c>
      <c r="AL58" s="169">
        <f t="shared" ca="1" si="20"/>
        <v>9</v>
      </c>
      <c r="AM58" s="169" t="str">
        <f t="shared" ca="1" si="6"/>
        <v>Change</v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3.9">
      <c r="A59" s="223"/>
      <c r="B59" s="224"/>
      <c r="C59" s="224"/>
      <c r="D59" s="224"/>
      <c r="E59" s="225"/>
      <c r="F59" s="365"/>
      <c r="G59" s="366" t="str">
        <f t="shared" ca="1" si="2"/>
        <v/>
      </c>
      <c r="H59" s="367"/>
      <c r="I59" s="367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2"/>
        <v/>
      </c>
      <c r="H60" s="367"/>
      <c r="I60" s="367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2"/>
        <v/>
      </c>
      <c r="H61" s="367"/>
      <c r="I61" s="367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2"/>
        <v>31</v>
      </c>
      <c r="H62" s="367"/>
      <c r="I62" s="367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 t="s">
        <v>399</v>
      </c>
      <c r="B63" s="224" t="s">
        <v>141</v>
      </c>
      <c r="C63" s="224">
        <v>18</v>
      </c>
      <c r="D63" s="224" t="s">
        <v>400</v>
      </c>
      <c r="E63" s="225" t="str">
        <f ca="1">OFFSET( INDIRECT( E$3 &amp; E$4 ), $G63 - 1, 0 )</f>
        <v>R</v>
      </c>
      <c r="F63" s="365"/>
      <c r="G63" s="366">
        <f t="shared" ca="1" si="2"/>
        <v>52</v>
      </c>
      <c r="H63" s="367"/>
      <c r="I63" s="367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65"/>
      <c r="G64" s="366">
        <f t="shared" ca="1" si="2"/>
        <v>51</v>
      </c>
      <c r="H64" s="367"/>
      <c r="I64" s="367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402</v>
      </c>
      <c r="AR67" s="207" t="s">
        <v>141</v>
      </c>
      <c r="AS67" s="207">
        <v>18</v>
      </c>
      <c r="AT67" s="207" t="s">
        <v>400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18.444444444444443</v>
      </c>
      <c r="D68" s="201"/>
      <c r="E68" s="201"/>
      <c r="F68" s="367"/>
      <c r="H68" s="367"/>
      <c r="I68" s="367"/>
      <c r="J68" s="368"/>
      <c r="K68" s="368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5" t="s">
        <v>403</v>
      </c>
      <c r="D74" s="204"/>
      <c r="F74" s="206"/>
      <c r="H74" s="206"/>
      <c r="I74" s="206"/>
    </row>
    <row r="75" spans="1:58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D76" s="204"/>
      <c r="F76" s="206"/>
      <c r="H76" s="206"/>
      <c r="I76" s="206"/>
      <c r="AQ76" s="207"/>
      <c r="AR76" s="207"/>
      <c r="AS76" s="207"/>
    </row>
    <row r="77" spans="1:58">
      <c r="A77" s="203"/>
      <c r="AQ77" s="207"/>
      <c r="AR77" s="207"/>
      <c r="AS77" s="207"/>
    </row>
    <row r="78" spans="1:58">
      <c r="C78" s="190">
        <f>SUMPRODUCT( L8:L13, Y8:Y13 ) / L14</f>
        <v>18.574074074074073</v>
      </c>
      <c r="E78" s="191"/>
      <c r="G78" s="370"/>
      <c r="J78" s="173"/>
      <c r="K78" s="173"/>
      <c r="AQ78" s="207"/>
      <c r="AR78" s="207"/>
      <c r="AS78" s="207"/>
    </row>
    <row r="79" spans="1:58" s="173" customFormat="1" ht="13.9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-- 2013 Q3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Reg_Percent_2012</v>
      </c>
      <c r="G2" s="172" t="s">
        <v>405</v>
      </c>
      <c r="AJ2" s="173" t="str">
        <f>AJ4 &amp; AJ3</f>
        <v>'Credit_2013Q2'!a:a</v>
      </c>
      <c r="AK2" s="173" t="str">
        <f>AK4 &amp; AK3</f>
        <v>'Credit_2013Q2'!b1</v>
      </c>
      <c r="AL2" s="173" t="str">
        <f>AL4 &amp; AL3</f>
        <v>'Credit_2013Q2'!c1</v>
      </c>
    </row>
    <row r="3" spans="1:61" ht="18" hidden="1" outlineLevel="1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410</v>
      </c>
      <c r="AK4" s="169" t="str">
        <f>AJ4</f>
        <v>'Credit_2013Q2'!</v>
      </c>
      <c r="AL4" s="169" t="str">
        <f>AK4</f>
        <v>'Credit_2013Q2'!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(55)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54</v>
      </c>
      <c r="C6" s="249" t="s">
        <v>214</v>
      </c>
      <c r="D6" s="221"/>
      <c r="E6" s="222">
        <v>41274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65"/>
      <c r="G7" s="366">
        <f t="shared" ref="G7:G64" ca="1" si="1">IF( LEN( $D7 ) = 0, "", MATCH( $D7, INDIRECT( G$3 &amp; G$4 ), 0 ) )</f>
        <v>48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I38" ca="1" si="8">OFFSET( AQ$6, $BD7, 0 )</f>
        <v>Southern Company</v>
      </c>
      <c r="BG7" s="173" t="str">
        <f t="shared" ca="1" si="8"/>
        <v>A</v>
      </c>
      <c r="BH7" s="173">
        <f t="shared" ca="1" si="8"/>
        <v>21</v>
      </c>
      <c r="BI7" s="173" t="str">
        <f t="shared" ca="1" si="8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0"/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3.6363636363636362E-2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5.8823529411764705E-2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ca="1" si="4"/>
        <v>8</v>
      </c>
      <c r="AK8" s="169" t="str">
        <f t="shared" ref="AK8:AL67" ca="1" si="19">IF( ISNA( $AJ8 ), "", OFFSET( INDIRECT( AK$2 ), $AJ8-1, 0 ) )</f>
        <v>A-</v>
      </c>
      <c r="AL8" s="169">
        <f t="shared" ca="1" si="19"/>
        <v>20</v>
      </c>
      <c r="AM8" s="169" t="str">
        <f t="shared" ca="1" si="5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0">IF( LEN( AS8 ) = 0, 99, RANK( AS8, $AS$7:$AS$63 ) )</f>
        <v>2</v>
      </c>
      <c r="AW8" s="168">
        <f>COUNTIF( AV$7:AV8, AV8 )</f>
        <v>1</v>
      </c>
      <c r="AX8" s="208">
        <f t="shared" ref="AX8:AX63" si="21">AV8 + AW8 / 10</f>
        <v>2.1</v>
      </c>
      <c r="AY8" s="168">
        <f t="shared" ref="AY8:AY63" si="22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8"/>
        <v>A-</v>
      </c>
      <c r="BH8" s="173">
        <f t="shared" ca="1" si="8"/>
        <v>20</v>
      </c>
      <c r="BI8" s="173" t="str">
        <f t="shared" ca="1" si="8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0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9"/>
        <v>11</v>
      </c>
      <c r="M9" s="216">
        <f t="shared" si="10"/>
        <v>0.2</v>
      </c>
      <c r="N9" s="234"/>
      <c r="O9" s="215">
        <f t="shared" ca="1" si="11"/>
        <v>6</v>
      </c>
      <c r="P9" s="216">
        <f t="shared" ca="1" si="12"/>
        <v>0.16666666666666666</v>
      </c>
      <c r="Q9" s="234"/>
      <c r="R9" s="215">
        <f t="shared" ca="1" si="13"/>
        <v>5</v>
      </c>
      <c r="S9" s="216">
        <f t="shared" ca="1" si="14"/>
        <v>0.29411764705882354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11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4"/>
        <v>9</v>
      </c>
      <c r="AK9" s="169" t="str">
        <f t="shared" ca="1" si="19"/>
        <v>A-</v>
      </c>
      <c r="AL9" s="169">
        <f t="shared" ca="1" si="19"/>
        <v>20</v>
      </c>
      <c r="AM9" s="169" t="str">
        <f t="shared" ca="1" si="5"/>
        <v/>
      </c>
      <c r="AQ9" s="207" t="s">
        <v>225</v>
      </c>
      <c r="AR9" s="207" t="s">
        <v>141</v>
      </c>
      <c r="AS9" s="207">
        <v>18</v>
      </c>
      <c r="AT9" s="207" t="s">
        <v>226</v>
      </c>
      <c r="AV9" s="168">
        <f t="shared" si="20"/>
        <v>25</v>
      </c>
      <c r="AW9" s="168">
        <f>COUNTIF( AV$7:AV9, AV9 )</f>
        <v>1</v>
      </c>
      <c r="AX9" s="208">
        <f t="shared" si="21"/>
        <v>25.1</v>
      </c>
      <c r="AY9" s="168">
        <f t="shared" si="22"/>
        <v>25</v>
      </c>
      <c r="AZ9" s="169"/>
      <c r="BA9" s="169"/>
      <c r="BC9" s="168">
        <f t="shared" ref="BC9:BC63" ca="1" si="23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8"/>
        <v>A-</v>
      </c>
      <c r="BH9" s="173">
        <f t="shared" ca="1" si="8"/>
        <v>20</v>
      </c>
      <c r="BI9" s="173" t="str">
        <f t="shared" ca="1" si="8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0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9"/>
        <v>12</v>
      </c>
      <c r="M10" s="216">
        <f t="shared" si="10"/>
        <v>0.21818181818181817</v>
      </c>
      <c r="N10" s="234"/>
      <c r="O10" s="215">
        <f t="shared" ca="1" si="11"/>
        <v>6</v>
      </c>
      <c r="P10" s="216">
        <f t="shared" ca="1" si="12"/>
        <v>0.16666666666666666</v>
      </c>
      <c r="Q10" s="234"/>
      <c r="R10" s="215">
        <f t="shared" ca="1" si="13"/>
        <v>5</v>
      </c>
      <c r="S10" s="216">
        <f t="shared" ca="1" si="14"/>
        <v>0.29411764705882354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4"/>
        <v>10</v>
      </c>
      <c r="AK10" s="169" t="str">
        <f t="shared" ca="1" si="19"/>
        <v>A-</v>
      </c>
      <c r="AL10" s="169">
        <f t="shared" ca="1" si="19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0"/>
        <v>25</v>
      </c>
      <c r="AW10" s="168">
        <f>COUNTIF( AV$7:AV10, AV10 )</f>
        <v>2</v>
      </c>
      <c r="AX10" s="208">
        <f t="shared" si="21"/>
        <v>25.2</v>
      </c>
      <c r="AY10" s="168">
        <f t="shared" si="22"/>
        <v>26</v>
      </c>
      <c r="AZ10" s="169"/>
      <c r="BA10" s="169"/>
      <c r="BC10" s="168">
        <f t="shared" ca="1" si="23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8"/>
        <v>A-</v>
      </c>
      <c r="BH10" s="173">
        <f t="shared" ca="1" si="8"/>
        <v>20</v>
      </c>
      <c r="BI10" s="173" t="str">
        <f t="shared" ca="1" si="8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0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9"/>
        <v>21</v>
      </c>
      <c r="M11" s="216">
        <f t="shared" si="10"/>
        <v>0.38181818181818183</v>
      </c>
      <c r="N11" s="234"/>
      <c r="O11" s="215">
        <f t="shared" ca="1" si="11"/>
        <v>18</v>
      </c>
      <c r="P11" s="216">
        <f t="shared" ca="1" si="12"/>
        <v>0.5</v>
      </c>
      <c r="Q11" s="234"/>
      <c r="R11" s="215">
        <f t="shared" ca="1" si="13"/>
        <v>3</v>
      </c>
      <c r="S11" s="216">
        <f t="shared" ca="1" si="14"/>
        <v>0.17647058823529413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21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4"/>
        <v>11</v>
      </c>
      <c r="AK11" s="169" t="str">
        <f t="shared" ca="1" si="19"/>
        <v>A-</v>
      </c>
      <c r="AL11" s="169">
        <f t="shared" ca="1" si="19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0"/>
        <v>25</v>
      </c>
      <c r="AW11" s="168">
        <f>COUNTIF( AV$7:AV11, AV11 )</f>
        <v>3</v>
      </c>
      <c r="AX11" s="208">
        <f t="shared" si="21"/>
        <v>25.3</v>
      </c>
      <c r="AY11" s="168">
        <f t="shared" si="22"/>
        <v>27</v>
      </c>
      <c r="AZ11" s="169"/>
      <c r="BA11" s="169"/>
      <c r="BC11" s="168">
        <f t="shared" ca="1" si="23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8"/>
        <v>A-</v>
      </c>
      <c r="BH11" s="173">
        <f t="shared" ca="1" si="8"/>
        <v>20</v>
      </c>
      <c r="BI11" s="173" t="str">
        <f t="shared" ca="1" si="8"/>
        <v>D</v>
      </c>
    </row>
    <row r="12" spans="1:61" ht="13.9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0"/>
        <v>R</v>
      </c>
      <c r="F12" s="365"/>
      <c r="G12" s="366">
        <f t="shared" ca="1" si="1"/>
        <v>29</v>
      </c>
      <c r="H12" s="367"/>
      <c r="I12" s="234"/>
      <c r="J12" s="215" t="s">
        <v>142</v>
      </c>
      <c r="K12" s="234"/>
      <c r="L12" s="215">
        <f t="shared" si="9"/>
        <v>6</v>
      </c>
      <c r="M12" s="216">
        <f t="shared" si="10"/>
        <v>0.10909090909090909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3</v>
      </c>
      <c r="S12" s="216">
        <f t="shared" ca="1" si="14"/>
        <v>0.17647058823529413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6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4"/>
        <v>12</v>
      </c>
      <c r="AK12" s="169" t="str">
        <f t="shared" ca="1" si="19"/>
        <v>A-</v>
      </c>
      <c r="AL12" s="169">
        <f t="shared" ca="1" si="19"/>
        <v>20</v>
      </c>
      <c r="AM12" s="169" t="str">
        <f t="shared" ca="1" si="5"/>
        <v/>
      </c>
      <c r="AQ12" s="207" t="s">
        <v>245</v>
      </c>
      <c r="AR12" s="207" t="s">
        <v>141</v>
      </c>
      <c r="AS12" s="207">
        <v>18</v>
      </c>
      <c r="AT12" s="207" t="s">
        <v>246</v>
      </c>
      <c r="AV12" s="168">
        <f t="shared" si="20"/>
        <v>25</v>
      </c>
      <c r="AW12" s="168">
        <f>COUNTIF( AV$7:AV12, AV12 )</f>
        <v>4</v>
      </c>
      <c r="AX12" s="208">
        <f t="shared" si="21"/>
        <v>25.4</v>
      </c>
      <c r="AY12" s="168">
        <f t="shared" si="22"/>
        <v>28</v>
      </c>
      <c r="AZ12" s="169"/>
      <c r="BA12" s="169"/>
      <c r="BC12" s="168">
        <f t="shared" ca="1" si="23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8"/>
        <v>A-</v>
      </c>
      <c r="BH12" s="173">
        <f t="shared" ca="1" si="8"/>
        <v>20</v>
      </c>
      <c r="BI12" s="173" t="str">
        <f t="shared" ca="1" si="8"/>
        <v>TEG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0"/>
        <v>MR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9"/>
        <v>3</v>
      </c>
      <c r="M13" s="218">
        <f t="shared" si="10"/>
        <v>5.4545454545454543E-2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1</v>
      </c>
      <c r="V13" s="218">
        <f t="shared" ca="1" si="16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4"/>
        <v>13</v>
      </c>
      <c r="AK13" s="169" t="str">
        <f t="shared" ca="1" si="19"/>
        <v>A-</v>
      </c>
      <c r="AL13" s="169">
        <f t="shared" ca="1" si="19"/>
        <v>20</v>
      </c>
      <c r="AM13" s="169" t="str">
        <f t="shared" ca="1" si="5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0"/>
        <v>2</v>
      </c>
      <c r="AW13" s="168">
        <f>COUNTIF( AV$7:AV13, AV13 )</f>
        <v>2</v>
      </c>
      <c r="AX13" s="208">
        <f t="shared" si="21"/>
        <v>2.2000000000000002</v>
      </c>
      <c r="AY13" s="168">
        <f t="shared" si="22"/>
        <v>3</v>
      </c>
      <c r="AZ13" s="169"/>
      <c r="BA13" s="169"/>
      <c r="BC13" s="168">
        <f t="shared" ca="1" si="23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8"/>
        <v>A-</v>
      </c>
      <c r="BH13" s="173">
        <f t="shared" ca="1" si="8"/>
        <v>20</v>
      </c>
      <c r="BI13" s="173" t="str">
        <f t="shared" ca="1" si="8"/>
        <v>NEE</v>
      </c>
    </row>
    <row r="14" spans="1:61" ht="13.9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0"/>
        <v>R</v>
      </c>
      <c r="F14" s="365"/>
      <c r="G14" s="366">
        <f t="shared" ca="1" si="1"/>
        <v>34</v>
      </c>
      <c r="H14" s="367"/>
      <c r="I14" s="236"/>
      <c r="J14" s="211" t="s">
        <v>144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18.509090909090908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4"/>
        <v>14</v>
      </c>
      <c r="AK14" s="169" t="str">
        <f t="shared" ca="1" si="19"/>
        <v>A-</v>
      </c>
      <c r="AL14" s="169">
        <f t="shared" ca="1" si="19"/>
        <v>20</v>
      </c>
      <c r="AM14" s="169" t="str">
        <f t="shared" ca="1" si="5"/>
        <v/>
      </c>
      <c r="AQ14" s="207" t="s">
        <v>254</v>
      </c>
      <c r="AR14" s="207" t="s">
        <v>140</v>
      </c>
      <c r="AS14" s="207">
        <v>19</v>
      </c>
      <c r="AT14" s="207" t="s">
        <v>378</v>
      </c>
      <c r="AV14" s="168">
        <f>IF( LEN( AS14 ) = 0, 99, RANK( AS14, $AS$7:$AS$63 ) )</f>
        <v>13</v>
      </c>
      <c r="AW14" s="168">
        <f>COUNTIF( AV$7:AV14, AV14 )</f>
        <v>2</v>
      </c>
      <c r="AX14" s="208">
        <f t="shared" si="21"/>
        <v>13.2</v>
      </c>
      <c r="AY14" s="168">
        <f t="shared" si="22"/>
        <v>14</v>
      </c>
      <c r="AZ14" s="169"/>
      <c r="BA14" s="169"/>
      <c r="BC14" s="168">
        <f t="shared" ca="1" si="23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8"/>
        <v>A-</v>
      </c>
      <c r="BH14" s="173">
        <f t="shared" ca="1" si="8"/>
        <v>20</v>
      </c>
      <c r="BI14" s="173" t="str">
        <f t="shared" ca="1" si="8"/>
        <v>ES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0"/>
        <v>MR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4"/>
        <v>15</v>
      </c>
      <c r="AK15" s="169" t="str">
        <f t="shared" ca="1" si="19"/>
        <v>A-</v>
      </c>
      <c r="AL15" s="169">
        <f t="shared" ca="1" si="19"/>
        <v>20</v>
      </c>
      <c r="AM15" s="169" t="str">
        <f t="shared" ca="1" si="5"/>
        <v/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0"/>
        <v>25</v>
      </c>
      <c r="AW15" s="168">
        <f>COUNTIF( AV$7:AV15, AV15 )</f>
        <v>5</v>
      </c>
      <c r="AX15" s="208">
        <f t="shared" si="21"/>
        <v>25.5</v>
      </c>
      <c r="AY15" s="168">
        <f t="shared" si="22"/>
        <v>29</v>
      </c>
      <c r="AZ15" s="169"/>
      <c r="BA15" s="169"/>
      <c r="BC15" s="168">
        <f t="shared" ca="1" si="23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8"/>
        <v>A-</v>
      </c>
      <c r="BH15" s="173">
        <f t="shared" ca="1" si="8"/>
        <v>20</v>
      </c>
      <c r="BI15" s="173" t="str">
        <f t="shared" ca="1" si="8"/>
        <v>OGE</v>
      </c>
    </row>
    <row r="16" spans="1:61" ht="13.9">
      <c r="A16" s="223" t="s">
        <v>345</v>
      </c>
      <c r="B16" s="224" t="s">
        <v>139</v>
      </c>
      <c r="C16" s="224">
        <v>20</v>
      </c>
      <c r="D16" s="224" t="s">
        <v>346</v>
      </c>
      <c r="E16" s="225" t="str">
        <f t="shared" ca="1" si="0"/>
        <v>MR</v>
      </c>
      <c r="F16" s="365"/>
      <c r="G16" s="366">
        <f t="shared" ca="1" si="1"/>
        <v>53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18.399999999999999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18.361111111111111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14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4"/>
        <v>16</v>
      </c>
      <c r="AK16" s="169" t="str">
        <f t="shared" ca="1" si="19"/>
        <v>A-</v>
      </c>
      <c r="AL16" s="169">
        <f t="shared" ca="1" si="19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0"/>
        <v>2</v>
      </c>
      <c r="AW16" s="168">
        <f>COUNTIF( AV$7:AV16, AV16 )</f>
        <v>3</v>
      </c>
      <c r="AX16" s="208">
        <f t="shared" si="21"/>
        <v>2.2999999999999998</v>
      </c>
      <c r="AY16" s="168">
        <f t="shared" si="22"/>
        <v>4</v>
      </c>
      <c r="AZ16" s="169"/>
      <c r="BA16" s="169"/>
      <c r="BC16" s="168">
        <f t="shared" ca="1" si="23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8"/>
        <v>A-</v>
      </c>
      <c r="BH16" s="173">
        <f t="shared" ca="1" si="8"/>
        <v>20</v>
      </c>
      <c r="BI16" s="173" t="str">
        <f t="shared" ca="1" si="8"/>
        <v>VVC</v>
      </c>
    </row>
    <row r="17" spans="1:61" ht="13.9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0"/>
        <v>R</v>
      </c>
      <c r="F17" s="365"/>
      <c r="G17" s="366">
        <f t="shared" ca="1" si="1"/>
        <v>55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4"/>
        <v>17</v>
      </c>
      <c r="AK17" s="169" t="str">
        <f t="shared" ca="1" si="19"/>
        <v>A-</v>
      </c>
      <c r="AL17" s="169">
        <f t="shared" ca="1" si="19"/>
        <v>20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0"/>
        <v>2</v>
      </c>
      <c r="AW17" s="168">
        <f>COUNTIF( AV$7:AV17, AV17 )</f>
        <v>4</v>
      </c>
      <c r="AX17" s="208">
        <f t="shared" si="21"/>
        <v>2.4</v>
      </c>
      <c r="AY17" s="168">
        <f t="shared" si="22"/>
        <v>5</v>
      </c>
      <c r="AZ17" s="169"/>
      <c r="BA17" s="169"/>
      <c r="BC17" s="168">
        <f t="shared" ca="1" si="23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8"/>
        <v>A-</v>
      </c>
      <c r="BH17" s="173">
        <f t="shared" ca="1" si="8"/>
        <v>20</v>
      </c>
      <c r="BI17" s="173" t="str">
        <f t="shared" ca="1" si="8"/>
        <v>WEC</v>
      </c>
    </row>
    <row r="18" spans="1:61" ht="13.9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0"/>
        <v>R</v>
      </c>
      <c r="F18" s="365"/>
      <c r="G18" s="366">
        <f t="shared" ca="1" si="1"/>
        <v>56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4"/>
        <v>18</v>
      </c>
      <c r="AK18" s="169" t="str">
        <f t="shared" ca="1" si="19"/>
        <v>A-</v>
      </c>
      <c r="AL18" s="169">
        <f t="shared" ca="1" si="19"/>
        <v>20</v>
      </c>
      <c r="AM18" s="169" t="str">
        <f t="shared" ca="1" si="5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0"/>
        <v>52</v>
      </c>
      <c r="AW18" s="168">
        <f>COUNTIF( AV$7:AV18, AV18 )</f>
        <v>1</v>
      </c>
      <c r="AX18" s="208">
        <f t="shared" si="21"/>
        <v>52.1</v>
      </c>
      <c r="AY18" s="168">
        <f t="shared" si="22"/>
        <v>52</v>
      </c>
      <c r="AZ18" s="169"/>
      <c r="BA18" s="169"/>
      <c r="BC18" s="168">
        <f t="shared" ca="1" si="23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8"/>
        <v>A-</v>
      </c>
      <c r="BH18" s="173">
        <f t="shared" ca="1" si="8"/>
        <v>20</v>
      </c>
      <c r="BI18" s="173" t="str">
        <f t="shared" ca="1" si="8"/>
        <v>XEL</v>
      </c>
    </row>
    <row r="19" spans="1:61" ht="13.9">
      <c r="A19" s="223" t="s">
        <v>217</v>
      </c>
      <c r="B19" s="224" t="s">
        <v>140</v>
      </c>
      <c r="C19" s="224">
        <v>19</v>
      </c>
      <c r="D19" s="224" t="s">
        <v>218</v>
      </c>
      <c r="E19" s="225" t="str">
        <f t="shared" ca="1" si="0"/>
        <v>R</v>
      </c>
      <c r="F19" s="365"/>
      <c r="G19" s="366">
        <f t="shared" ca="1" si="1"/>
        <v>7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4"/>
        <v>19</v>
      </c>
      <c r="AK19" s="169" t="str">
        <f t="shared" ca="1" si="19"/>
        <v>BBB+</v>
      </c>
      <c r="AL19" s="169">
        <f t="shared" ca="1" si="19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0"/>
        <v>13</v>
      </c>
      <c r="AW19" s="168">
        <f>COUNTIF( AV$7:AV19, AV19 )</f>
        <v>3</v>
      </c>
      <c r="AX19" s="208">
        <f t="shared" si="21"/>
        <v>13.3</v>
      </c>
      <c r="AY19" s="168">
        <f t="shared" si="22"/>
        <v>15</v>
      </c>
      <c r="AZ19" s="169"/>
      <c r="BA19" s="169"/>
      <c r="BC19" s="168">
        <f t="shared" ca="1" si="23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8"/>
        <v>BBB+</v>
      </c>
      <c r="BH19" s="173">
        <f t="shared" ca="1" si="8"/>
        <v>19</v>
      </c>
      <c r="BI19" s="173" t="str">
        <f t="shared" ca="1" si="8"/>
        <v>ALE</v>
      </c>
    </row>
    <row r="20" spans="1:61" ht="13.9">
      <c r="A20" s="223" t="s">
        <v>254</v>
      </c>
      <c r="B20" s="224" t="s">
        <v>140</v>
      </c>
      <c r="C20" s="224">
        <v>19</v>
      </c>
      <c r="D20" s="224" t="s">
        <v>378</v>
      </c>
      <c r="E20" s="225" t="str">
        <f t="shared" ca="1" si="0"/>
        <v>R</v>
      </c>
      <c r="F20" s="365"/>
      <c r="G20" s="366">
        <f t="shared" ca="1" si="1"/>
        <v>14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>
        <f t="shared" ca="1" si="3"/>
        <v>1</v>
      </c>
      <c r="AH20" s="169" t="str">
        <f t="shared" ca="1" si="18"/>
        <v/>
      </c>
      <c r="AJ20" s="169">
        <f t="shared" ca="1" si="4"/>
        <v>33</v>
      </c>
      <c r="AK20" s="169" t="str">
        <f t="shared" ca="1" si="19"/>
        <v>BBB</v>
      </c>
      <c r="AL20" s="169">
        <f t="shared" ca="1" si="19"/>
        <v>18</v>
      </c>
      <c r="AM20" s="169" t="str">
        <f t="shared" ca="1" si="5"/>
        <v>Change</v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0"/>
        <v>13</v>
      </c>
      <c r="AW20" s="168">
        <f>COUNTIF( AV$7:AV20, AV20 )</f>
        <v>4</v>
      </c>
      <c r="AX20" s="208">
        <f t="shared" si="21"/>
        <v>13.4</v>
      </c>
      <c r="AY20" s="168">
        <f t="shared" si="22"/>
        <v>16</v>
      </c>
      <c r="AZ20" s="169"/>
      <c r="BA20" s="169"/>
      <c r="BC20" s="168">
        <f t="shared" ca="1" si="23"/>
        <v>14</v>
      </c>
      <c r="BD20" s="209">
        <f t="shared" ca="1" si="7"/>
        <v>8</v>
      </c>
      <c r="BF20" s="173" t="str">
        <f t="shared" ca="1" si="8"/>
        <v>Cleco Corporation</v>
      </c>
      <c r="BG20" s="173" t="str">
        <f t="shared" ca="1" si="8"/>
        <v>BBB+</v>
      </c>
      <c r="BH20" s="173">
        <f t="shared" ca="1" si="8"/>
        <v>19</v>
      </c>
      <c r="BI20" s="173" t="str">
        <f t="shared" ca="1" si="8"/>
        <v>CNL</v>
      </c>
    </row>
    <row r="21" spans="1:61" ht="13.9">
      <c r="A21" s="223" t="s">
        <v>261</v>
      </c>
      <c r="B21" s="224" t="s">
        <v>140</v>
      </c>
      <c r="C21" s="224">
        <v>19</v>
      </c>
      <c r="D21" s="224" t="s">
        <v>262</v>
      </c>
      <c r="E21" s="225" t="str">
        <f t="shared" ca="1" si="0"/>
        <v>R</v>
      </c>
      <c r="F21" s="365"/>
      <c r="G21" s="366">
        <f t="shared" ca="1" si="1"/>
        <v>18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4"/>
        <v>20</v>
      </c>
      <c r="AK21" s="169" t="str">
        <f t="shared" ca="1" si="19"/>
        <v>BBB+</v>
      </c>
      <c r="AL21" s="169">
        <f t="shared" ca="1" si="19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0"/>
        <v>45</v>
      </c>
      <c r="AW21" s="168">
        <f>COUNTIF( AV$7:AV21, AV21 )</f>
        <v>1</v>
      </c>
      <c r="AX21" s="208">
        <f t="shared" si="21"/>
        <v>45.1</v>
      </c>
      <c r="AY21" s="168">
        <f t="shared" si="22"/>
        <v>45</v>
      </c>
      <c r="AZ21" s="169"/>
      <c r="BA21" s="169"/>
      <c r="BC21" s="168">
        <f t="shared" ca="1" si="23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8"/>
        <v>BBB+</v>
      </c>
      <c r="BH21" s="173">
        <f t="shared" ca="1" si="8"/>
        <v>19</v>
      </c>
      <c r="BI21" s="173" t="str">
        <f t="shared" ca="1" si="8"/>
        <v>DTE</v>
      </c>
    </row>
    <row r="22" spans="1:61" ht="13.9">
      <c r="A22" s="223" t="s">
        <v>263</v>
      </c>
      <c r="B22" s="224" t="s">
        <v>140</v>
      </c>
      <c r="C22" s="224">
        <v>19</v>
      </c>
      <c r="D22" s="224" t="s">
        <v>264</v>
      </c>
      <c r="E22" s="225" t="str">
        <f t="shared" ca="1" si="0"/>
        <v>R</v>
      </c>
      <c r="F22" s="365"/>
      <c r="G22" s="366">
        <f t="shared" ca="1" si="1"/>
        <v>19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4"/>
        <v>21</v>
      </c>
      <c r="AK22" s="169" t="str">
        <f t="shared" ca="1" si="19"/>
        <v>BBB+</v>
      </c>
      <c r="AL22" s="169">
        <f t="shared" ca="1" si="19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0"/>
        <v>25</v>
      </c>
      <c r="AW22" s="168">
        <f>COUNTIF( AV$7:AV22, AV22 )</f>
        <v>6</v>
      </c>
      <c r="AX22" s="208">
        <f t="shared" si="21"/>
        <v>25.6</v>
      </c>
      <c r="AY22" s="168">
        <f t="shared" si="22"/>
        <v>30</v>
      </c>
      <c r="AZ22" s="169"/>
      <c r="BA22" s="169"/>
      <c r="BC22" s="168">
        <f t="shared" ca="1" si="23"/>
        <v>16</v>
      </c>
      <c r="BD22" s="209">
        <f t="shared" ca="1" si="7"/>
        <v>14</v>
      </c>
      <c r="BF22" s="173" t="str">
        <f t="shared" ca="1" si="8"/>
        <v>Duke Energy Corporation</v>
      </c>
      <c r="BG22" s="173" t="str">
        <f t="shared" ca="1" si="8"/>
        <v>BBB+</v>
      </c>
      <c r="BH22" s="173">
        <f t="shared" ca="1" si="8"/>
        <v>19</v>
      </c>
      <c r="BI22" s="173" t="str">
        <f t="shared" ca="1" si="8"/>
        <v>DUK</v>
      </c>
    </row>
    <row r="23" spans="1:61" ht="13.9">
      <c r="A23" s="223" t="s">
        <v>271</v>
      </c>
      <c r="B23" s="224" t="s">
        <v>140</v>
      </c>
      <c r="C23" s="224">
        <v>19</v>
      </c>
      <c r="D23" s="224" t="s">
        <v>272</v>
      </c>
      <c r="E23" s="225" t="str">
        <f t="shared" ca="1" si="0"/>
        <v>D</v>
      </c>
      <c r="F23" s="365"/>
      <c r="G23" s="366">
        <f t="shared" ca="1" si="1"/>
        <v>30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4"/>
        <v>22</v>
      </c>
      <c r="AK23" s="169" t="str">
        <f t="shared" ca="1" si="19"/>
        <v>BBB+</v>
      </c>
      <c r="AL23" s="169">
        <f t="shared" ca="1" si="19"/>
        <v>19</v>
      </c>
      <c r="AM23" s="169" t="str">
        <f t="shared" ca="1" si="5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0"/>
        <v>25</v>
      </c>
      <c r="AW23" s="168">
        <f>COUNTIF( AV$7:AV23, AV23 )</f>
        <v>7</v>
      </c>
      <c r="AX23" s="208">
        <f t="shared" si="21"/>
        <v>25.7</v>
      </c>
      <c r="AY23" s="168">
        <f t="shared" si="22"/>
        <v>31</v>
      </c>
      <c r="AZ23" s="169"/>
      <c r="BA23" s="169"/>
      <c r="BC23" s="168">
        <f t="shared" ca="1" si="23"/>
        <v>17</v>
      </c>
      <c r="BD23" s="209">
        <f t="shared" ca="1" si="7"/>
        <v>28</v>
      </c>
      <c r="BF23" s="173" t="str">
        <f t="shared" ca="1" si="8"/>
        <v>MDU Resources Group, Inc.</v>
      </c>
      <c r="BG23" s="173" t="str">
        <f t="shared" ca="1" si="8"/>
        <v>BBB+</v>
      </c>
      <c r="BH23" s="173">
        <f t="shared" ca="1" si="8"/>
        <v>19</v>
      </c>
      <c r="BI23" s="173" t="str">
        <f t="shared" ca="1" si="8"/>
        <v>MDU</v>
      </c>
    </row>
    <row r="24" spans="1:61" ht="13.9">
      <c r="A24" s="223" t="s">
        <v>408</v>
      </c>
      <c r="B24" s="224" t="s">
        <v>140</v>
      </c>
      <c r="C24" s="224">
        <v>19</v>
      </c>
      <c r="D24" s="224" t="s">
        <v>216</v>
      </c>
      <c r="E24" s="225" t="str">
        <f t="shared" ca="1" si="0"/>
        <v>MR</v>
      </c>
      <c r="F24" s="365"/>
      <c r="G24" s="366">
        <f t="shared" ca="1" si="1"/>
        <v>62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4"/>
        <v>23</v>
      </c>
      <c r="AK24" s="169" t="str">
        <f t="shared" ca="1" si="19"/>
        <v>BBB+</v>
      </c>
      <c r="AL24" s="169">
        <f t="shared" ca="1" si="19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0"/>
        <v>53</v>
      </c>
      <c r="AW24" s="168">
        <f>COUNTIF( AV$7:AV24, AV24 )</f>
        <v>1</v>
      </c>
      <c r="AX24" s="208">
        <f t="shared" si="21"/>
        <v>53.1</v>
      </c>
      <c r="AY24" s="168">
        <f t="shared" si="22"/>
        <v>53</v>
      </c>
      <c r="AZ24" s="169"/>
      <c r="BA24" s="169"/>
      <c r="BC24" s="168">
        <f t="shared" ca="1" si="23"/>
        <v>18</v>
      </c>
      <c r="BD24" s="209">
        <f t="shared" ca="1" si="7"/>
        <v>29</v>
      </c>
      <c r="BF24" s="173" t="str">
        <f t="shared" ca="1" si="8"/>
        <v>MidAmerican Energy Holdings Company</v>
      </c>
      <c r="BG24" s="173" t="str">
        <f t="shared" ca="1" si="8"/>
        <v>BBB+</v>
      </c>
      <c r="BH24" s="173">
        <f t="shared" ca="1" si="8"/>
        <v>19</v>
      </c>
      <c r="BI24" s="173" t="str">
        <f t="shared" ca="1" si="8"/>
        <v>**BRK</v>
      </c>
    </row>
    <row r="25" spans="1:61" ht="13.9">
      <c r="A25" s="223" t="s">
        <v>382</v>
      </c>
      <c r="B25" s="224" t="s">
        <v>140</v>
      </c>
      <c r="C25" s="224">
        <v>19</v>
      </c>
      <c r="D25" s="224" t="s">
        <v>383</v>
      </c>
      <c r="E25" s="225" t="str">
        <f t="shared" ca="1" si="0"/>
        <v>MR</v>
      </c>
      <c r="F25" s="365"/>
      <c r="G25" s="366">
        <f t="shared" ca="1" si="1"/>
        <v>39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4"/>
        <v>24</v>
      </c>
      <c r="AK25" s="169" t="str">
        <f t="shared" ca="1" si="19"/>
        <v>BBB+</v>
      </c>
      <c r="AL25" s="169">
        <f t="shared" ca="1" si="19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0"/>
        <v>25</v>
      </c>
      <c r="AW25" s="168">
        <f>COUNTIF( AV$7:AV25, AV25 )</f>
        <v>8</v>
      </c>
      <c r="AX25" s="208">
        <f t="shared" si="21"/>
        <v>25.8</v>
      </c>
      <c r="AY25" s="168">
        <f t="shared" si="22"/>
        <v>32</v>
      </c>
      <c r="AZ25" s="169"/>
      <c r="BA25" s="169"/>
      <c r="BC25" s="168">
        <f t="shared" ca="1" si="23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8"/>
        <v>BBB+</v>
      </c>
      <c r="BH25" s="173">
        <f t="shared" ca="1" si="8"/>
        <v>19</v>
      </c>
      <c r="BI25" s="173" t="str">
        <f t="shared" ca="1" si="8"/>
        <v>POM</v>
      </c>
    </row>
    <row r="26" spans="1:61" ht="13.9">
      <c r="A26" s="223" t="s">
        <v>281</v>
      </c>
      <c r="B26" s="224" t="s">
        <v>140</v>
      </c>
      <c r="C26" s="224">
        <v>19</v>
      </c>
      <c r="D26" s="224" t="s">
        <v>282</v>
      </c>
      <c r="E26" s="225" t="str">
        <f t="shared" ca="1" si="0"/>
        <v>R</v>
      </c>
      <c r="F26" s="365"/>
      <c r="G26" s="366">
        <f t="shared" ca="1" si="1"/>
        <v>41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4"/>
        <v>25</v>
      </c>
      <c r="AK26" s="169" t="str">
        <f t="shared" ca="1" si="19"/>
        <v>BBB+</v>
      </c>
      <c r="AL26" s="169">
        <f t="shared" ca="1" si="19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0"/>
        <v>25</v>
      </c>
      <c r="AW26" s="168">
        <f>COUNTIF( AV$7:AV26, AV26 )</f>
        <v>9</v>
      </c>
      <c r="AX26" s="208">
        <f t="shared" si="21"/>
        <v>25.9</v>
      </c>
      <c r="AY26" s="168">
        <f t="shared" si="22"/>
        <v>33</v>
      </c>
      <c r="AZ26" s="169"/>
      <c r="BA26" s="169"/>
      <c r="BC26" s="168">
        <f t="shared" ca="1" si="23"/>
        <v>20</v>
      </c>
      <c r="BD26" s="209">
        <f t="shared" ca="1" si="7"/>
        <v>39</v>
      </c>
      <c r="BF26" s="173" t="str">
        <f t="shared" ca="1" si="8"/>
        <v>Pinnacle West Capital Corporation</v>
      </c>
      <c r="BG26" s="173" t="str">
        <f t="shared" ca="1" si="8"/>
        <v>BBB+</v>
      </c>
      <c r="BH26" s="173">
        <f t="shared" ca="1" si="8"/>
        <v>19</v>
      </c>
      <c r="BI26" s="173" t="str">
        <f t="shared" ca="1" si="8"/>
        <v>PNW</v>
      </c>
    </row>
    <row r="27" spans="1:61" ht="13.9">
      <c r="A27" s="223" t="s">
        <v>289</v>
      </c>
      <c r="B27" s="224" t="s">
        <v>140</v>
      </c>
      <c r="C27" s="224">
        <v>19</v>
      </c>
      <c r="D27" s="224" t="s">
        <v>290</v>
      </c>
      <c r="E27" s="225" t="str">
        <f t="shared" ca="1" si="0"/>
        <v>MR</v>
      </c>
      <c r="F27" s="365"/>
      <c r="G27" s="366">
        <f t="shared" ca="1" si="1"/>
        <v>45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4"/>
        <v>26</v>
      </c>
      <c r="AK27" s="169" t="str">
        <f t="shared" ca="1" si="19"/>
        <v>BBB+</v>
      </c>
      <c r="AL27" s="169">
        <f t="shared" ca="1" si="19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0"/>
        <v>45</v>
      </c>
      <c r="AW27" s="168">
        <f>COUNTIF( AV$7:AV27, AV27 )</f>
        <v>2</v>
      </c>
      <c r="AX27" s="208">
        <f t="shared" si="21"/>
        <v>45.2</v>
      </c>
      <c r="AY27" s="168">
        <f t="shared" si="22"/>
        <v>46</v>
      </c>
      <c r="AZ27" s="169"/>
      <c r="BA27" s="169"/>
      <c r="BC27" s="168">
        <f t="shared" ca="1" si="23"/>
        <v>21</v>
      </c>
      <c r="BD27" s="209">
        <f t="shared" ca="1" si="7"/>
        <v>43</v>
      </c>
      <c r="BF27" s="173" t="str">
        <f t="shared" ca="1" si="8"/>
        <v>Public Service Enterprise Group Incorporated</v>
      </c>
      <c r="BG27" s="173" t="str">
        <f t="shared" ca="1" si="8"/>
        <v>BBB+</v>
      </c>
      <c r="BH27" s="173">
        <f t="shared" ca="1" si="8"/>
        <v>19</v>
      </c>
      <c r="BI27" s="173" t="str">
        <f t="shared" ca="1" si="8"/>
        <v>PEG</v>
      </c>
    </row>
    <row r="28" spans="1:61" ht="13.9">
      <c r="A28" s="223" t="s">
        <v>347</v>
      </c>
      <c r="B28" s="224" t="s">
        <v>140</v>
      </c>
      <c r="C28" s="224">
        <v>19</v>
      </c>
      <c r="D28" s="224" t="s">
        <v>348</v>
      </c>
      <c r="E28" s="225" t="str">
        <f t="shared" ca="1" si="0"/>
        <v>MR</v>
      </c>
      <c r="F28" s="365"/>
      <c r="G28" s="366">
        <f t="shared" ca="1" si="1"/>
        <v>46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4"/>
        <v>27</v>
      </c>
      <c r="AK28" s="169" t="str">
        <f t="shared" ca="1" si="19"/>
        <v>BBB+</v>
      </c>
      <c r="AL28" s="169">
        <f t="shared" ca="1" si="19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0"/>
        <v>25</v>
      </c>
      <c r="AW28" s="168">
        <f>COUNTIF( AV$7:AV28, AV28 )</f>
        <v>10</v>
      </c>
      <c r="AX28" s="208">
        <f t="shared" si="21"/>
        <v>26</v>
      </c>
      <c r="AY28" s="168">
        <f t="shared" si="22"/>
        <v>34</v>
      </c>
      <c r="AZ28" s="169"/>
      <c r="BA28" s="169"/>
      <c r="BC28" s="168">
        <f t="shared" ca="1" si="23"/>
        <v>22</v>
      </c>
      <c r="BD28" s="209">
        <f t="shared" ca="1" si="7"/>
        <v>45</v>
      </c>
      <c r="BF28" s="173" t="str">
        <f t="shared" ca="1" si="8"/>
        <v>SCANA Corporation</v>
      </c>
      <c r="BG28" s="173" t="str">
        <f t="shared" ca="1" si="8"/>
        <v>BBB+</v>
      </c>
      <c r="BH28" s="173">
        <f t="shared" ca="1" si="8"/>
        <v>19</v>
      </c>
      <c r="BI28" s="173" t="str">
        <f t="shared" ca="1" si="8"/>
        <v>SCG</v>
      </c>
    </row>
    <row r="29" spans="1:61" ht="13.9">
      <c r="A29" s="223" t="s">
        <v>291</v>
      </c>
      <c r="B29" s="224" t="s">
        <v>140</v>
      </c>
      <c r="C29" s="224">
        <v>19</v>
      </c>
      <c r="D29" s="224" t="s">
        <v>292</v>
      </c>
      <c r="E29" s="225" t="str">
        <f t="shared" ca="1" si="0"/>
        <v>MR</v>
      </c>
      <c r="F29" s="365"/>
      <c r="G29" s="366">
        <f t="shared" ca="1" si="1"/>
        <v>47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4"/>
        <v>28</v>
      </c>
      <c r="AK29" s="169" t="str">
        <f t="shared" ca="1" si="19"/>
        <v>BBB+</v>
      </c>
      <c r="AL29" s="169">
        <f t="shared" ca="1" si="19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0"/>
        <v>45</v>
      </c>
      <c r="AW29" s="168">
        <f>COUNTIF( AV$7:AV29, AV29 )</f>
        <v>3</v>
      </c>
      <c r="AX29" s="208">
        <f t="shared" si="21"/>
        <v>45.3</v>
      </c>
      <c r="AY29" s="168">
        <f t="shared" si="22"/>
        <v>47</v>
      </c>
      <c r="AZ29" s="169"/>
      <c r="BA29" s="169"/>
      <c r="BC29" s="168">
        <f t="shared" ca="1" si="23"/>
        <v>23</v>
      </c>
      <c r="BD29" s="209">
        <f t="shared" ca="1" si="7"/>
        <v>46</v>
      </c>
      <c r="BF29" s="173" t="str">
        <f t="shared" ca="1" si="8"/>
        <v>Sempra Energy</v>
      </c>
      <c r="BG29" s="173" t="str">
        <f t="shared" ca="1" si="8"/>
        <v>BBB+</v>
      </c>
      <c r="BH29" s="173">
        <f t="shared" ca="1" si="8"/>
        <v>19</v>
      </c>
      <c r="BI29" s="173" t="str">
        <f t="shared" ca="1" si="8"/>
        <v>SRE</v>
      </c>
    </row>
    <row r="30" spans="1:61" ht="13.9">
      <c r="A30" s="223" t="s">
        <v>369</v>
      </c>
      <c r="B30" s="224" t="s">
        <v>140</v>
      </c>
      <c r="C30" s="224">
        <v>19</v>
      </c>
      <c r="D30" s="224" t="s">
        <v>375</v>
      </c>
      <c r="E30" s="225" t="str">
        <f t="shared" ca="1" si="0"/>
        <v>R</v>
      </c>
      <c r="F30" s="365"/>
      <c r="G30" s="366">
        <f t="shared" ca="1" si="1"/>
        <v>49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4"/>
        <v>29</v>
      </c>
      <c r="AK30" s="169" t="str">
        <f t="shared" ca="1" si="19"/>
        <v>BBB+</v>
      </c>
      <c r="AL30" s="169">
        <f t="shared" ca="1" si="19"/>
        <v>19</v>
      </c>
      <c r="AM30" s="169" t="str">
        <f t="shared" ca="1" si="5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0"/>
        <v>25</v>
      </c>
      <c r="AW30" s="168">
        <f>COUNTIF( AV$7:AV30, AV30 )</f>
        <v>11</v>
      </c>
      <c r="AX30" s="208">
        <f t="shared" si="21"/>
        <v>26.1</v>
      </c>
      <c r="AY30" s="168">
        <f t="shared" si="22"/>
        <v>35</v>
      </c>
      <c r="AZ30" s="169"/>
      <c r="BA30" s="169"/>
      <c r="BC30" s="168">
        <f t="shared" ca="1" si="23"/>
        <v>24</v>
      </c>
      <c r="BD30" s="209">
        <f t="shared" ca="1" si="7"/>
        <v>48</v>
      </c>
      <c r="BF30" s="173" t="str">
        <f t="shared" ca="1" si="8"/>
        <v>TECO Energy, Inc.</v>
      </c>
      <c r="BG30" s="173" t="str">
        <f t="shared" ca="1" si="8"/>
        <v>BBB+</v>
      </c>
      <c r="BH30" s="173">
        <f t="shared" ca="1" si="8"/>
        <v>19</v>
      </c>
      <c r="BI30" s="173" t="str">
        <f t="shared" ca="1" si="8"/>
        <v>TE</v>
      </c>
    </row>
    <row r="31" spans="1:61" ht="13.9">
      <c r="A31" s="223" t="s">
        <v>225</v>
      </c>
      <c r="B31" s="224" t="s">
        <v>141</v>
      </c>
      <c r="C31" s="224">
        <v>18</v>
      </c>
      <c r="D31" s="224" t="s">
        <v>226</v>
      </c>
      <c r="E31" s="225" t="str">
        <f t="shared" ca="1" si="0"/>
        <v>R</v>
      </c>
      <c r="F31" s="365"/>
      <c r="G31" s="366">
        <f t="shared" ca="1" si="1"/>
        <v>9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4"/>
        <v>30</v>
      </c>
      <c r="AK31" s="169" t="str">
        <f t="shared" ca="1" si="19"/>
        <v>BBB</v>
      </c>
      <c r="AL31" s="169">
        <f t="shared" ca="1" si="19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0"/>
        <v>25</v>
      </c>
      <c r="AW31" s="168">
        <f>COUNTIF( AV$7:AV31, AV31 )</f>
        <v>12</v>
      </c>
      <c r="AX31" s="208">
        <f t="shared" si="21"/>
        <v>26.2</v>
      </c>
      <c r="AY31" s="168">
        <f t="shared" si="22"/>
        <v>36</v>
      </c>
      <c r="AZ31" s="169"/>
      <c r="BA31" s="169"/>
      <c r="BC31" s="168">
        <f t="shared" ca="1" si="23"/>
        <v>25</v>
      </c>
      <c r="BD31" s="209">
        <f t="shared" ca="1" si="7"/>
        <v>3</v>
      </c>
      <c r="BF31" s="173" t="str">
        <f t="shared" ca="1" si="8"/>
        <v>Ameren Corporation</v>
      </c>
      <c r="BG31" s="173" t="str">
        <f t="shared" ca="1" si="8"/>
        <v>BBB</v>
      </c>
      <c r="BH31" s="173">
        <f t="shared" ca="1" si="8"/>
        <v>18</v>
      </c>
      <c r="BI31" s="173" t="str">
        <f t="shared" ca="1" si="8"/>
        <v>AEE</v>
      </c>
    </row>
    <row r="32" spans="1:61" ht="13.9">
      <c r="A32" s="223" t="s">
        <v>222</v>
      </c>
      <c r="B32" s="224" t="s">
        <v>141</v>
      </c>
      <c r="C32" s="224">
        <v>18</v>
      </c>
      <c r="D32" s="224" t="s">
        <v>223</v>
      </c>
      <c r="E32" s="225" t="str">
        <f t="shared" ca="1" si="0"/>
        <v>R</v>
      </c>
      <c r="F32" s="365"/>
      <c r="G32" s="366">
        <f t="shared" ca="1" si="1"/>
        <v>10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4"/>
        <v>31</v>
      </c>
      <c r="AK32" s="169" t="str">
        <f t="shared" ca="1" si="19"/>
        <v>BBB</v>
      </c>
      <c r="AL32" s="169">
        <f t="shared" ca="1" si="19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0"/>
        <v>2</v>
      </c>
      <c r="AW32" s="168">
        <f>COUNTIF( AV$7:AV32, AV32 )</f>
        <v>5</v>
      </c>
      <c r="AX32" s="208">
        <f t="shared" si="21"/>
        <v>2.5</v>
      </c>
      <c r="AY32" s="168">
        <f t="shared" si="22"/>
        <v>6</v>
      </c>
      <c r="AZ32" s="169"/>
      <c r="BA32" s="169"/>
      <c r="BC32" s="168">
        <f t="shared" ca="1" si="23"/>
        <v>26</v>
      </c>
      <c r="BD32" s="209">
        <f t="shared" ca="1" si="7"/>
        <v>4</v>
      </c>
      <c r="BF32" s="173" t="str">
        <f t="shared" ca="1" si="8"/>
        <v>American Electric Power Company, Inc.</v>
      </c>
      <c r="BG32" s="173" t="str">
        <f t="shared" ca="1" si="8"/>
        <v>BBB</v>
      </c>
      <c r="BH32" s="173">
        <f t="shared" ca="1" si="8"/>
        <v>18</v>
      </c>
      <c r="BI32" s="173" t="str">
        <f t="shared" ca="1" si="8"/>
        <v>AEP</v>
      </c>
    </row>
    <row r="33" spans="1:61" ht="13.9">
      <c r="A33" s="223" t="s">
        <v>238</v>
      </c>
      <c r="B33" s="224" t="s">
        <v>141</v>
      </c>
      <c r="C33" s="224">
        <v>18</v>
      </c>
      <c r="D33" s="224" t="s">
        <v>239</v>
      </c>
      <c r="E33" s="225" t="str">
        <f t="shared" ca="1" si="0"/>
        <v>R</v>
      </c>
      <c r="F33" s="365"/>
      <c r="G33" s="366">
        <f t="shared" ca="1" si="1"/>
        <v>11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4"/>
        <v>32</v>
      </c>
      <c r="AK33" s="169" t="str">
        <f t="shared" ca="1" si="19"/>
        <v>BBB</v>
      </c>
      <c r="AL33" s="169">
        <f t="shared" ca="1" si="19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0"/>
        <v>45</v>
      </c>
      <c r="AW33" s="168">
        <f>COUNTIF( AV$7:AV33, AV33 )</f>
        <v>4</v>
      </c>
      <c r="AX33" s="208">
        <f t="shared" si="21"/>
        <v>45.4</v>
      </c>
      <c r="AY33" s="168">
        <f t="shared" si="22"/>
        <v>48</v>
      </c>
      <c r="AZ33" s="169"/>
      <c r="BA33" s="169"/>
      <c r="BC33" s="168">
        <f t="shared" ca="1" si="23"/>
        <v>27</v>
      </c>
      <c r="BD33" s="209">
        <f t="shared" ca="1" si="7"/>
        <v>5</v>
      </c>
      <c r="BF33" s="173" t="str">
        <f t="shared" ca="1" si="8"/>
        <v>Avista Corporation</v>
      </c>
      <c r="BG33" s="173" t="str">
        <f t="shared" ca="1" si="8"/>
        <v>BBB</v>
      </c>
      <c r="BH33" s="173">
        <f t="shared" ca="1" si="8"/>
        <v>18</v>
      </c>
      <c r="BI33" s="173" t="str">
        <f t="shared" ca="1" si="8"/>
        <v>AVA</v>
      </c>
    </row>
    <row r="34" spans="1:61" ht="13.9">
      <c r="A34" s="223" t="s">
        <v>245</v>
      </c>
      <c r="B34" s="224" t="s">
        <v>141</v>
      </c>
      <c r="C34" s="224">
        <v>18</v>
      </c>
      <c r="D34" s="224" t="s">
        <v>246</v>
      </c>
      <c r="E34" s="225" t="str">
        <f t="shared" ca="1" si="0"/>
        <v>R</v>
      </c>
      <c r="F34" s="365"/>
      <c r="G34" s="366">
        <f t="shared" ca="1" si="1"/>
        <v>12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>
        <f t="shared" ca="1" si="3"/>
        <v>1</v>
      </c>
      <c r="AH34" s="169" t="str">
        <f t="shared" ca="1" si="18"/>
        <v/>
      </c>
      <c r="AJ34" s="169">
        <f t="shared" ca="1" si="4"/>
        <v>50</v>
      </c>
      <c r="AK34" s="169" t="str">
        <f t="shared" ca="1" si="19"/>
        <v>BBB-</v>
      </c>
      <c r="AL34" s="169">
        <f t="shared" ca="1" si="19"/>
        <v>17</v>
      </c>
      <c r="AM34" s="169" t="str">
        <f t="shared" ca="1" si="5"/>
        <v>Change</v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0"/>
        <v>13</v>
      </c>
      <c r="AW34" s="168">
        <f>COUNTIF( AV$7:AV34, AV34 )</f>
        <v>5</v>
      </c>
      <c r="AX34" s="208">
        <f t="shared" si="21"/>
        <v>13.5</v>
      </c>
      <c r="AY34" s="168">
        <f t="shared" si="22"/>
        <v>17</v>
      </c>
      <c r="AZ34" s="169"/>
      <c r="BA34" s="169"/>
      <c r="BC34" s="168">
        <f t="shared" ca="1" si="23"/>
        <v>28</v>
      </c>
      <c r="BD34" s="209">
        <f t="shared" ca="1" si="7"/>
        <v>6</v>
      </c>
      <c r="BF34" s="173" t="str">
        <f t="shared" ca="1" si="8"/>
        <v>Black Hills Corporation</v>
      </c>
      <c r="BG34" s="173" t="str">
        <f t="shared" ca="1" si="8"/>
        <v>BBB</v>
      </c>
      <c r="BH34" s="173">
        <f t="shared" ca="1" si="8"/>
        <v>18</v>
      </c>
      <c r="BI34" s="173" t="str">
        <f t="shared" ca="1" si="8"/>
        <v>BKH</v>
      </c>
    </row>
    <row r="35" spans="1:61" ht="13.9">
      <c r="A35" s="223" t="s">
        <v>256</v>
      </c>
      <c r="B35" s="224" t="s">
        <v>141</v>
      </c>
      <c r="C35" s="224">
        <v>18</v>
      </c>
      <c r="D35" s="224" t="s">
        <v>257</v>
      </c>
      <c r="E35" s="225" t="str">
        <f t="shared" ca="1" si="0"/>
        <v>R</v>
      </c>
      <c r="F35" s="365"/>
      <c r="G35" s="366">
        <f t="shared" ca="1" si="1"/>
        <v>15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4"/>
        <v>34</v>
      </c>
      <c r="AK35" s="169" t="str">
        <f t="shared" ca="1" si="19"/>
        <v>BBB</v>
      </c>
      <c r="AL35" s="169">
        <f t="shared" ca="1" si="19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0"/>
        <v>13</v>
      </c>
      <c r="AW35" s="168">
        <f>COUNTIF( AV$7:AV35, AV35 )</f>
        <v>6</v>
      </c>
      <c r="AX35" s="208">
        <f t="shared" si="21"/>
        <v>13.6</v>
      </c>
      <c r="AY35" s="168">
        <f t="shared" si="22"/>
        <v>18</v>
      </c>
      <c r="AZ35" s="169"/>
      <c r="BA35" s="169"/>
      <c r="BC35" s="168">
        <f t="shared" ca="1" si="23"/>
        <v>29</v>
      </c>
      <c r="BD35" s="209">
        <f t="shared" ca="1" si="7"/>
        <v>9</v>
      </c>
      <c r="BF35" s="173" t="str">
        <f t="shared" ca="1" si="8"/>
        <v>CMS Energy Corporation</v>
      </c>
      <c r="BG35" s="173" t="str">
        <f t="shared" ca="1" si="8"/>
        <v>BBB</v>
      </c>
      <c r="BH35" s="173">
        <f t="shared" ca="1" si="8"/>
        <v>18</v>
      </c>
      <c r="BI35" s="173" t="str">
        <f t="shared" ca="1" si="8"/>
        <v>CMS</v>
      </c>
    </row>
    <row r="36" spans="1:61" ht="13.9">
      <c r="A36" s="223" t="s">
        <v>328</v>
      </c>
      <c r="B36" s="224" t="s">
        <v>141</v>
      </c>
      <c r="C36" s="224">
        <v>18</v>
      </c>
      <c r="D36" s="224" t="s">
        <v>331</v>
      </c>
      <c r="E36" s="225" t="str">
        <f t="shared" ca="1" si="0"/>
        <v>R</v>
      </c>
      <c r="F36" s="365"/>
      <c r="G36" s="366">
        <f t="shared" ca="1" si="1"/>
        <v>21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4"/>
        <v>35</v>
      </c>
      <c r="AK36" s="169" t="str">
        <f t="shared" ca="1" si="19"/>
        <v>BBB</v>
      </c>
      <c r="AL36" s="169">
        <f t="shared" ca="1" si="19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0"/>
        <v>2</v>
      </c>
      <c r="AW36" s="168">
        <f>COUNTIF( AV$7:AV36, AV36 )</f>
        <v>6</v>
      </c>
      <c r="AX36" s="208">
        <f t="shared" si="21"/>
        <v>2.6</v>
      </c>
      <c r="AY36" s="168">
        <f t="shared" si="22"/>
        <v>7</v>
      </c>
      <c r="AZ36" s="169"/>
      <c r="BA36" s="169"/>
      <c r="BC36" s="168">
        <f t="shared" ca="1" si="23"/>
        <v>30</v>
      </c>
      <c r="BD36" s="209">
        <f t="shared" ca="1" si="7"/>
        <v>16</v>
      </c>
      <c r="BF36" s="173" t="str">
        <f t="shared" ca="1" si="8"/>
        <v>El Paso Electric Company</v>
      </c>
      <c r="BG36" s="173" t="str">
        <f t="shared" ca="1" si="8"/>
        <v>BBB</v>
      </c>
      <c r="BH36" s="173">
        <f t="shared" ca="1" si="8"/>
        <v>18</v>
      </c>
      <c r="BI36" s="173" t="str">
        <f t="shared" ca="1" si="8"/>
        <v>EE</v>
      </c>
    </row>
    <row r="37" spans="1:61" ht="13.9">
      <c r="A37" s="223" t="s">
        <v>367</v>
      </c>
      <c r="B37" s="224" t="s">
        <v>141</v>
      </c>
      <c r="C37" s="224">
        <v>18</v>
      </c>
      <c r="D37" s="224" t="s">
        <v>368</v>
      </c>
      <c r="E37" s="225" t="str">
        <f t="shared" ca="1" si="0"/>
        <v>R</v>
      </c>
      <c r="F37" s="365"/>
      <c r="G37" s="366">
        <f t="shared" ca="1" si="1"/>
        <v>22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4"/>
        <v>36</v>
      </c>
      <c r="AK37" s="169" t="str">
        <f t="shared" ca="1" si="19"/>
        <v>BBB</v>
      </c>
      <c r="AL37" s="169">
        <f t="shared" ca="1" si="19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0"/>
        <v>45</v>
      </c>
      <c r="AW37" s="168">
        <f>COUNTIF( AV$7:AV37, AV37 )</f>
        <v>5</v>
      </c>
      <c r="AX37" s="208">
        <f t="shared" si="21"/>
        <v>45.5</v>
      </c>
      <c r="AY37" s="168">
        <f t="shared" si="22"/>
        <v>49</v>
      </c>
      <c r="AZ37" s="169"/>
      <c r="BA37" s="169"/>
      <c r="BC37" s="168">
        <f t="shared" ca="1" si="23"/>
        <v>31</v>
      </c>
      <c r="BD37" s="209">
        <f t="shared" ca="1" si="7"/>
        <v>17</v>
      </c>
      <c r="BF37" s="173" t="str">
        <f t="shared" ca="1" si="8"/>
        <v>Empire District Electric Company</v>
      </c>
      <c r="BG37" s="173" t="str">
        <f t="shared" ca="1" si="8"/>
        <v>BBB</v>
      </c>
      <c r="BH37" s="173">
        <f t="shared" ca="1" si="8"/>
        <v>18</v>
      </c>
      <c r="BI37" s="173" t="str">
        <f t="shared" ca="1" si="8"/>
        <v>EDE</v>
      </c>
    </row>
    <row r="38" spans="1:61" ht="13.9">
      <c r="A38" s="223" t="s">
        <v>267</v>
      </c>
      <c r="B38" s="224" t="s">
        <v>141</v>
      </c>
      <c r="C38" s="224">
        <v>18</v>
      </c>
      <c r="D38" s="224" t="s">
        <v>268</v>
      </c>
      <c r="E38" s="225" t="str">
        <f t="shared" ca="1" si="0"/>
        <v>R</v>
      </c>
      <c r="F38" s="365"/>
      <c r="G38" s="366">
        <f t="shared" ca="1" si="1"/>
        <v>23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4"/>
        <v>37</v>
      </c>
      <c r="AK38" s="169" t="str">
        <f t="shared" ca="1" si="19"/>
        <v>BBB</v>
      </c>
      <c r="AL38" s="169">
        <f t="shared" ca="1" si="19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0"/>
        <v>2</v>
      </c>
      <c r="AW38" s="168">
        <f>COUNTIF( AV$7:AV38, AV38 )</f>
        <v>7</v>
      </c>
      <c r="AX38" s="208">
        <f t="shared" si="21"/>
        <v>2.7</v>
      </c>
      <c r="AY38" s="168">
        <f t="shared" si="22"/>
        <v>8</v>
      </c>
      <c r="AZ38" s="169"/>
      <c r="BA38" s="169"/>
      <c r="BC38" s="168">
        <f t="shared" ca="1" si="23"/>
        <v>32</v>
      </c>
      <c r="BD38" s="209">
        <f t="shared" ca="1" si="7"/>
        <v>19</v>
      </c>
      <c r="BF38" s="173" t="str">
        <f t="shared" ca="1" si="8"/>
        <v>Entergy Corporation</v>
      </c>
      <c r="BG38" s="173" t="str">
        <f t="shared" ca="1" si="8"/>
        <v>BBB</v>
      </c>
      <c r="BH38" s="173">
        <f t="shared" ca="1" si="8"/>
        <v>18</v>
      </c>
      <c r="BI38" s="173" t="str">
        <f t="shared" ca="1" si="8"/>
        <v>ETR</v>
      </c>
    </row>
    <row r="39" spans="1:61" ht="13.9">
      <c r="A39" s="223" t="s">
        <v>269</v>
      </c>
      <c r="B39" s="224" t="s">
        <v>141</v>
      </c>
      <c r="C39" s="224">
        <v>18</v>
      </c>
      <c r="D39" s="224" t="s">
        <v>270</v>
      </c>
      <c r="E39" s="225" t="str">
        <f t="shared" ca="1" si="0"/>
        <v>MR</v>
      </c>
      <c r="F39" s="365"/>
      <c r="G39" s="366">
        <f t="shared" ca="1" si="1"/>
        <v>24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4"/>
        <v>38</v>
      </c>
      <c r="AK39" s="169" t="str">
        <f t="shared" ca="1" si="19"/>
        <v>BBB</v>
      </c>
      <c r="AL39" s="169">
        <f t="shared" ca="1" si="19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0"/>
        <v>25</v>
      </c>
      <c r="AW39" s="168">
        <f>COUNTIF( AV$7:AV39, AV39 )</f>
        <v>13</v>
      </c>
      <c r="AX39" s="208">
        <f t="shared" si="21"/>
        <v>26.3</v>
      </c>
      <c r="AY39" s="168">
        <f t="shared" si="22"/>
        <v>37</v>
      </c>
      <c r="AZ39" s="169"/>
      <c r="BA39" s="169"/>
      <c r="BC39" s="168">
        <f t="shared" ca="1" si="23"/>
        <v>33</v>
      </c>
      <c r="BD39" s="209">
        <f t="shared" ca="1" si="7"/>
        <v>20</v>
      </c>
      <c r="BF39" s="173" t="str">
        <f t="shared" ref="BF39:BI63" ca="1" si="24">OFFSET( AQ$6, $BD39, 0 )</f>
        <v>Exelon Corporation</v>
      </c>
      <c r="BG39" s="173" t="str">
        <f t="shared" ca="1" si="24"/>
        <v>BBB</v>
      </c>
      <c r="BH39" s="173">
        <f t="shared" ca="1" si="24"/>
        <v>18</v>
      </c>
      <c r="BI39" s="173" t="str">
        <f t="shared" ca="1" si="24"/>
        <v>EXC</v>
      </c>
    </row>
    <row r="40" spans="1:61" ht="13.9">
      <c r="A40" s="223" t="s">
        <v>352</v>
      </c>
      <c r="B40" s="224" t="s">
        <v>141</v>
      </c>
      <c r="C40" s="224">
        <v>18</v>
      </c>
      <c r="D40" s="224" t="s">
        <v>353</v>
      </c>
      <c r="E40" s="225" t="str">
        <f t="shared" ca="1" si="0"/>
        <v>R</v>
      </c>
      <c r="F40" s="365"/>
      <c r="G40" s="366">
        <f t="shared" ca="1" si="1"/>
        <v>26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4"/>
        <v>39</v>
      </c>
      <c r="AK40" s="169" t="str">
        <f t="shared" ca="1" si="19"/>
        <v>BBB</v>
      </c>
      <c r="AL40" s="169">
        <f t="shared" ca="1" si="19"/>
        <v>18</v>
      </c>
      <c r="AM40" s="169" t="str">
        <f t="shared" ca="1" si="5"/>
        <v/>
      </c>
      <c r="AQ40" s="207" t="s">
        <v>411</v>
      </c>
      <c r="AR40" s="207" t="s">
        <v>142</v>
      </c>
      <c r="AS40" s="207">
        <v>17</v>
      </c>
      <c r="AT40" s="207" t="s">
        <v>412</v>
      </c>
      <c r="AV40" s="168">
        <f t="shared" si="20"/>
        <v>45</v>
      </c>
      <c r="AW40" s="168">
        <f>COUNTIF( AV$7:AV40, AV40 )</f>
        <v>6</v>
      </c>
      <c r="AX40" s="208">
        <f t="shared" si="21"/>
        <v>45.6</v>
      </c>
      <c r="AY40" s="168">
        <f t="shared" si="22"/>
        <v>50</v>
      </c>
      <c r="AZ40" s="169"/>
      <c r="BA40" s="169"/>
      <c r="BC40" s="168">
        <f t="shared" ca="1" si="23"/>
        <v>34</v>
      </c>
      <c r="BD40" s="209">
        <f t="shared" ca="1" si="7"/>
        <v>22</v>
      </c>
      <c r="BF40" s="173" t="str">
        <f t="shared" ca="1" si="24"/>
        <v>Great Plains Energy Inc.</v>
      </c>
      <c r="BG40" s="173" t="str">
        <f t="shared" ca="1" si="24"/>
        <v>BBB</v>
      </c>
      <c r="BH40" s="173">
        <f t="shared" ca="1" si="24"/>
        <v>18</v>
      </c>
      <c r="BI40" s="173" t="str">
        <f t="shared" ca="1" si="24"/>
        <v>GXP</v>
      </c>
    </row>
    <row r="41" spans="1:61" ht="13.9">
      <c r="A41" s="223" t="s">
        <v>387</v>
      </c>
      <c r="B41" s="224" t="s">
        <v>141</v>
      </c>
      <c r="C41" s="224">
        <v>18</v>
      </c>
      <c r="D41" s="224" t="s">
        <v>388</v>
      </c>
      <c r="E41" s="225" t="str">
        <f t="shared" ca="1" si="0"/>
        <v>R</v>
      </c>
      <c r="F41" s="365"/>
      <c r="G41" s="366">
        <f t="shared" ca="1" si="1"/>
        <v>58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4"/>
        <v>40</v>
      </c>
      <c r="AK41" s="169" t="str">
        <f t="shared" ca="1" si="19"/>
        <v>BBB</v>
      </c>
      <c r="AL41" s="169">
        <f t="shared" ca="1" si="19"/>
        <v>18</v>
      </c>
      <c r="AM41" s="169" t="str">
        <f t="shared" ca="1" si="5"/>
        <v/>
      </c>
      <c r="AQ41" s="207" t="s">
        <v>277</v>
      </c>
      <c r="AR41" s="207" t="s">
        <v>139</v>
      </c>
      <c r="AS41" s="207">
        <v>20</v>
      </c>
      <c r="AT41" s="207" t="s">
        <v>278</v>
      </c>
      <c r="AV41" s="168">
        <f t="shared" si="20"/>
        <v>2</v>
      </c>
      <c r="AW41" s="168">
        <f>COUNTIF( AV$7:AV41, AV41 )</f>
        <v>8</v>
      </c>
      <c r="AX41" s="208">
        <f t="shared" si="21"/>
        <v>2.8</v>
      </c>
      <c r="AY41" s="168">
        <f t="shared" si="22"/>
        <v>9</v>
      </c>
      <c r="AZ41" s="169"/>
      <c r="BA41" s="169"/>
      <c r="BC41" s="168">
        <f t="shared" ca="1" si="23"/>
        <v>35</v>
      </c>
      <c r="BD41" s="209">
        <f t="shared" ca="1" si="7"/>
        <v>24</v>
      </c>
      <c r="BF41" s="173" t="str">
        <f t="shared" ca="1" si="24"/>
        <v>Iberdrola USA</v>
      </c>
      <c r="BG41" s="173" t="str">
        <f t="shared" ca="1" si="24"/>
        <v>BBB</v>
      </c>
      <c r="BH41" s="173">
        <f t="shared" ca="1" si="24"/>
        <v>18</v>
      </c>
      <c r="BI41" s="173" t="str">
        <f t="shared" ca="1" si="24"/>
        <v>**EAST</v>
      </c>
    </row>
    <row r="42" spans="1:61" ht="13.9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0"/>
        <v>R</v>
      </c>
      <c r="F42" s="365"/>
      <c r="G42" s="366">
        <f t="shared" ca="1" si="1"/>
        <v>28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4"/>
        <v>41</v>
      </c>
      <c r="AK42" s="169" t="str">
        <f t="shared" ca="1" si="19"/>
        <v>BBB</v>
      </c>
      <c r="AL42" s="169">
        <f t="shared" ca="1" si="19"/>
        <v>18</v>
      </c>
      <c r="AM42" s="169" t="str">
        <f t="shared" ca="1" si="5"/>
        <v/>
      </c>
      <c r="AQ42" s="207" t="s">
        <v>299</v>
      </c>
      <c r="AR42" s="207" t="s">
        <v>141</v>
      </c>
      <c r="AS42" s="207">
        <v>18</v>
      </c>
      <c r="AT42" s="207" t="s">
        <v>300</v>
      </c>
      <c r="AV42" s="168">
        <f t="shared" si="20"/>
        <v>25</v>
      </c>
      <c r="AW42" s="168">
        <f>COUNTIF( AV$7:AV42, AV42 )</f>
        <v>14</v>
      </c>
      <c r="AX42" s="208">
        <f t="shared" si="21"/>
        <v>26.4</v>
      </c>
      <c r="AY42" s="168">
        <f t="shared" si="22"/>
        <v>38</v>
      </c>
      <c r="AZ42" s="169"/>
      <c r="BA42" s="169"/>
      <c r="BC42" s="168">
        <f t="shared" ca="1" si="23"/>
        <v>36</v>
      </c>
      <c r="BD42" s="209">
        <f t="shared" ca="1" si="7"/>
        <v>25</v>
      </c>
      <c r="BF42" s="173" t="str">
        <f t="shared" ca="1" si="24"/>
        <v>IDACORP, Inc.</v>
      </c>
      <c r="BG42" s="173" t="str">
        <f t="shared" ca="1" si="24"/>
        <v>BBB</v>
      </c>
      <c r="BH42" s="173">
        <f t="shared" ca="1" si="24"/>
        <v>18</v>
      </c>
      <c r="BI42" s="173" t="str">
        <f t="shared" ca="1" si="24"/>
        <v>IDA</v>
      </c>
    </row>
    <row r="43" spans="1:61" ht="13.9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0"/>
        <v>R</v>
      </c>
      <c r="F43" s="365"/>
      <c r="G43" s="366">
        <f t="shared" ca="1" si="1"/>
        <v>35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4"/>
        <v>42</v>
      </c>
      <c r="AK43" s="169" t="str">
        <f t="shared" ca="1" si="19"/>
        <v>BBB</v>
      </c>
      <c r="AL43" s="169">
        <f t="shared" ca="1" si="19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0"/>
        <v>13</v>
      </c>
      <c r="AW43" s="168">
        <f>COUNTIF( AV$7:AV43, AV43 )</f>
        <v>7</v>
      </c>
      <c r="AX43" s="208">
        <f t="shared" si="21"/>
        <v>13.7</v>
      </c>
      <c r="AY43" s="168">
        <f t="shared" si="22"/>
        <v>19</v>
      </c>
      <c r="AZ43" s="169"/>
      <c r="BA43" s="169"/>
      <c r="BC43" s="168">
        <f t="shared" ca="1" si="23"/>
        <v>37</v>
      </c>
      <c r="BD43" s="209">
        <f t="shared" ca="1" si="7"/>
        <v>33</v>
      </c>
      <c r="BF43" s="173" t="str">
        <f t="shared" ca="1" si="24"/>
        <v>NorthWestern Corporation</v>
      </c>
      <c r="BG43" s="173" t="str">
        <f t="shared" ca="1" si="24"/>
        <v>BBB</v>
      </c>
      <c r="BH43" s="173">
        <f t="shared" ca="1" si="24"/>
        <v>18</v>
      </c>
      <c r="BI43" s="173" t="str">
        <f t="shared" ca="1" si="24"/>
        <v>NWE</v>
      </c>
    </row>
    <row r="44" spans="1:61" ht="13.9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0"/>
        <v>MR</v>
      </c>
      <c r="F44" s="365"/>
      <c r="G44" s="366">
        <f t="shared" ca="1" si="1"/>
        <v>38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4"/>
        <v>43</v>
      </c>
      <c r="AK44" s="169" t="str">
        <f t="shared" ca="1" si="19"/>
        <v>BBB</v>
      </c>
      <c r="AL44" s="169">
        <f t="shared" ca="1" si="19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0"/>
        <v>25</v>
      </c>
      <c r="AW44" s="168">
        <f>COUNTIF( AV$7:AV44, AV44 )</f>
        <v>15</v>
      </c>
      <c r="AX44" s="208">
        <f t="shared" si="21"/>
        <v>26.5</v>
      </c>
      <c r="AY44" s="168">
        <f t="shared" si="22"/>
        <v>39</v>
      </c>
      <c r="AZ44" s="169"/>
      <c r="BA44" s="169"/>
      <c r="BC44" s="168">
        <f t="shared" ca="1" si="23"/>
        <v>38</v>
      </c>
      <c r="BD44" s="209">
        <f t="shared" ca="1" si="7"/>
        <v>36</v>
      </c>
      <c r="BF44" s="173" t="str">
        <f t="shared" ca="1" si="24"/>
        <v>Otter Tail Corporation</v>
      </c>
      <c r="BG44" s="173" t="str">
        <f t="shared" ca="1" si="24"/>
        <v>BBB</v>
      </c>
      <c r="BH44" s="173">
        <f t="shared" ca="1" si="24"/>
        <v>18</v>
      </c>
      <c r="BI44" s="173" t="str">
        <f t="shared" ca="1" si="24"/>
        <v>OTTR</v>
      </c>
    </row>
    <row r="45" spans="1:61" ht="13.9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0"/>
        <v>R</v>
      </c>
      <c r="F45" s="365"/>
      <c r="G45" s="366">
        <f t="shared" ca="1" si="1"/>
        <v>40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4"/>
        <v>44</v>
      </c>
      <c r="AK45" s="169" t="str">
        <f t="shared" ca="1" si="19"/>
        <v>BBB</v>
      </c>
      <c r="AL45" s="169">
        <f t="shared" ca="1" si="19"/>
        <v>18</v>
      </c>
      <c r="AM45" s="169" t="str">
        <f t="shared" ca="1" si="5"/>
        <v/>
      </c>
      <c r="AQ45" s="207" t="s">
        <v>281</v>
      </c>
      <c r="AR45" s="207" t="s">
        <v>140</v>
      </c>
      <c r="AS45" s="207">
        <v>19</v>
      </c>
      <c r="AT45" s="207" t="s">
        <v>282</v>
      </c>
      <c r="AV45" s="168">
        <f t="shared" si="20"/>
        <v>13</v>
      </c>
      <c r="AW45" s="168">
        <f>COUNTIF( AV$7:AV45, AV45 )</f>
        <v>8</v>
      </c>
      <c r="AX45" s="208">
        <f t="shared" si="21"/>
        <v>13.8</v>
      </c>
      <c r="AY45" s="168">
        <f t="shared" si="22"/>
        <v>20</v>
      </c>
      <c r="AZ45" s="169"/>
      <c r="BA45" s="169"/>
      <c r="BC45" s="168">
        <f t="shared" ca="1" si="23"/>
        <v>39</v>
      </c>
      <c r="BD45" s="209">
        <f t="shared" ca="1" si="7"/>
        <v>38</v>
      </c>
      <c r="BF45" s="173" t="str">
        <f t="shared" ca="1" si="24"/>
        <v>PG&amp;E Corporation</v>
      </c>
      <c r="BG45" s="173" t="str">
        <f t="shared" ca="1" si="24"/>
        <v>BBB</v>
      </c>
      <c r="BH45" s="173">
        <f t="shared" ca="1" si="24"/>
        <v>18</v>
      </c>
      <c r="BI45" s="173" t="str">
        <f t="shared" ca="1" si="24"/>
        <v>PCG</v>
      </c>
    </row>
    <row r="46" spans="1:61" ht="13.9">
      <c r="A46" s="223" t="s">
        <v>303</v>
      </c>
      <c r="B46" s="224" t="s">
        <v>141</v>
      </c>
      <c r="C46" s="224">
        <v>18</v>
      </c>
      <c r="D46" s="224" t="s">
        <v>304</v>
      </c>
      <c r="E46" s="225" t="str">
        <f t="shared" ca="1" si="0"/>
        <v>R</v>
      </c>
      <c r="F46" s="365"/>
      <c r="G46" s="366">
        <f t="shared" ca="1" si="1"/>
        <v>42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4"/>
        <v>45</v>
      </c>
      <c r="AK46" s="169" t="str">
        <f t="shared" ca="1" si="19"/>
        <v>BBB</v>
      </c>
      <c r="AL46" s="169">
        <f t="shared" ca="1" si="19"/>
        <v>18</v>
      </c>
      <c r="AM46" s="169" t="str">
        <f t="shared" ca="1" si="5"/>
        <v/>
      </c>
      <c r="AQ46" s="207" t="s">
        <v>303</v>
      </c>
      <c r="AR46" s="207" t="s">
        <v>141</v>
      </c>
      <c r="AS46" s="207">
        <v>18</v>
      </c>
      <c r="AT46" s="207" t="s">
        <v>304</v>
      </c>
      <c r="AV46" s="168">
        <f t="shared" si="20"/>
        <v>25</v>
      </c>
      <c r="AW46" s="168">
        <f>COUNTIF( AV$7:AV46, AV46 )</f>
        <v>16</v>
      </c>
      <c r="AX46" s="208">
        <f t="shared" si="21"/>
        <v>26.6</v>
      </c>
      <c r="AY46" s="168">
        <f t="shared" si="22"/>
        <v>40</v>
      </c>
      <c r="AZ46" s="169"/>
      <c r="BA46" s="169"/>
      <c r="BC46" s="168">
        <f t="shared" ca="1" si="23"/>
        <v>40</v>
      </c>
      <c r="BD46" s="209">
        <f t="shared" ca="1" si="7"/>
        <v>40</v>
      </c>
      <c r="BF46" s="173" t="str">
        <f t="shared" ca="1" si="24"/>
        <v>PNM Resources, Inc.</v>
      </c>
      <c r="BG46" s="173" t="str">
        <f t="shared" ca="1" si="24"/>
        <v>BBB</v>
      </c>
      <c r="BH46" s="173">
        <f t="shared" ca="1" si="24"/>
        <v>18</v>
      </c>
      <c r="BI46" s="173" t="str">
        <f t="shared" ca="1" si="24"/>
        <v>PNM</v>
      </c>
    </row>
    <row r="47" spans="1:61" ht="13.9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0"/>
        <v>R</v>
      </c>
      <c r="F47" s="365"/>
      <c r="G47" s="366">
        <f t="shared" ca="1" si="1"/>
        <v>43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4"/>
        <v>46</v>
      </c>
      <c r="AK47" s="169" t="str">
        <f t="shared" ca="1" si="19"/>
        <v>BBB</v>
      </c>
      <c r="AL47" s="169">
        <f t="shared" ca="1" si="19"/>
        <v>18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0"/>
        <v>25</v>
      </c>
      <c r="AW47" s="168">
        <f>COUNTIF( AV$7:AV47, AV47 )</f>
        <v>17</v>
      </c>
      <c r="AX47" s="208">
        <f t="shared" si="21"/>
        <v>26.7</v>
      </c>
      <c r="AY47" s="168">
        <f t="shared" si="22"/>
        <v>41</v>
      </c>
      <c r="AZ47" s="169"/>
      <c r="BA47" s="169"/>
      <c r="BC47" s="168">
        <f t="shared" ca="1" si="23"/>
        <v>41</v>
      </c>
      <c r="BD47" s="209">
        <f t="shared" ca="1" si="7"/>
        <v>41</v>
      </c>
      <c r="BF47" s="173" t="str">
        <f t="shared" ca="1" si="24"/>
        <v>Portland General Electric Company</v>
      </c>
      <c r="BG47" s="173" t="str">
        <f t="shared" ca="1" si="24"/>
        <v>BBB</v>
      </c>
      <c r="BH47" s="173">
        <f t="shared" ca="1" si="24"/>
        <v>18</v>
      </c>
      <c r="BI47" s="173" t="str">
        <f t="shared" ca="1" si="24"/>
        <v>POR</v>
      </c>
    </row>
    <row r="48" spans="1:61" ht="13.9">
      <c r="A48" s="223" t="s">
        <v>243</v>
      </c>
      <c r="B48" s="224" t="s">
        <v>141</v>
      </c>
      <c r="C48" s="224">
        <v>18</v>
      </c>
      <c r="D48" s="224" t="s">
        <v>244</v>
      </c>
      <c r="E48" s="225" t="str">
        <f t="shared" ca="1" si="0"/>
        <v>MR</v>
      </c>
      <c r="F48" s="365"/>
      <c r="G48" s="366">
        <f t="shared" ca="1" si="1"/>
        <v>44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4"/>
        <v>47</v>
      </c>
      <c r="AK48" s="169" t="str">
        <f t="shared" ca="1" si="19"/>
        <v>BBB</v>
      </c>
      <c r="AL48" s="169">
        <f t="shared" ca="1" si="19"/>
        <v>18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0"/>
        <v>25</v>
      </c>
      <c r="AW48" s="168">
        <f>COUNTIF( AV$7:AV48, AV48 )</f>
        <v>18</v>
      </c>
      <c r="AX48" s="208">
        <f t="shared" si="21"/>
        <v>26.8</v>
      </c>
      <c r="AY48" s="168">
        <f t="shared" si="22"/>
        <v>42</v>
      </c>
      <c r="AZ48" s="169"/>
      <c r="BA48" s="169"/>
      <c r="BC48" s="168">
        <f t="shared" ca="1" si="23"/>
        <v>42</v>
      </c>
      <c r="BD48" s="209">
        <f t="shared" ca="1" si="7"/>
        <v>42</v>
      </c>
      <c r="BF48" s="173" t="str">
        <f t="shared" ca="1" si="24"/>
        <v>PPL Corporation</v>
      </c>
      <c r="BG48" s="173" t="str">
        <f t="shared" ca="1" si="24"/>
        <v>BBB</v>
      </c>
      <c r="BH48" s="173">
        <f t="shared" ca="1" si="24"/>
        <v>18</v>
      </c>
      <c r="BI48" s="173" t="str">
        <f t="shared" ca="1" si="24"/>
        <v>PPL</v>
      </c>
    </row>
    <row r="49" spans="1:61" ht="13.9">
      <c r="A49" s="223" t="s">
        <v>389</v>
      </c>
      <c r="B49" s="224" t="s">
        <v>141</v>
      </c>
      <c r="C49" s="224">
        <v>18</v>
      </c>
      <c r="D49" s="224" t="s">
        <v>390</v>
      </c>
      <c r="E49" s="225" t="str">
        <f t="shared" ca="1" si="0"/>
        <v>R</v>
      </c>
      <c r="F49" s="365"/>
      <c r="G49" s="366">
        <f t="shared" ca="1" si="1"/>
        <v>50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4"/>
        <v>48</v>
      </c>
      <c r="AK49" s="169" t="str">
        <f t="shared" ca="1" si="19"/>
        <v>BBB</v>
      </c>
      <c r="AL49" s="169">
        <f t="shared" ca="1" si="19"/>
        <v>18</v>
      </c>
      <c r="AM49" s="169" t="str">
        <f t="shared" ca="1" si="5"/>
        <v/>
      </c>
      <c r="AQ49" s="207" t="s">
        <v>289</v>
      </c>
      <c r="AR49" s="207" t="s">
        <v>140</v>
      </c>
      <c r="AS49" s="207">
        <v>19</v>
      </c>
      <c r="AT49" s="207" t="s">
        <v>290</v>
      </c>
      <c r="AV49" s="168">
        <f t="shared" si="20"/>
        <v>13</v>
      </c>
      <c r="AW49" s="168">
        <f>COUNTIF( AV$7:AV49, AV49 )</f>
        <v>9</v>
      </c>
      <c r="AX49" s="208">
        <f t="shared" si="21"/>
        <v>13.9</v>
      </c>
      <c r="AY49" s="168">
        <f t="shared" si="22"/>
        <v>21</v>
      </c>
      <c r="AZ49" s="169"/>
      <c r="BA49" s="169"/>
      <c r="BC49" s="168">
        <f t="shared" ca="1" si="23"/>
        <v>43</v>
      </c>
      <c r="BD49" s="209">
        <f t="shared" ca="1" si="7"/>
        <v>49</v>
      </c>
      <c r="BF49" s="173" t="str">
        <f t="shared" ca="1" si="24"/>
        <v>UIL Holdings Corporation</v>
      </c>
      <c r="BG49" s="173" t="str">
        <f t="shared" ca="1" si="24"/>
        <v>BBB</v>
      </c>
      <c r="BH49" s="173">
        <f t="shared" ca="1" si="24"/>
        <v>18</v>
      </c>
      <c r="BI49" s="173" t="str">
        <f t="shared" ca="1" si="24"/>
        <v>UIL</v>
      </c>
    </row>
    <row r="50" spans="1:61" ht="13.9">
      <c r="A50" s="223" t="s">
        <v>354</v>
      </c>
      <c r="B50" s="224" t="s">
        <v>141</v>
      </c>
      <c r="C50" s="224">
        <v>18</v>
      </c>
      <c r="D50" s="224" t="s">
        <v>355</v>
      </c>
      <c r="E50" s="225" t="str">
        <f t="shared" ca="1" si="0"/>
        <v>R</v>
      </c>
      <c r="F50" s="365"/>
      <c r="G50" s="366">
        <f t="shared" ca="1" si="1"/>
        <v>54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4"/>
        <v>49</v>
      </c>
      <c r="AK50" s="169" t="str">
        <f t="shared" ca="1" si="19"/>
        <v>BBB</v>
      </c>
      <c r="AL50" s="169">
        <f t="shared" ca="1" si="19"/>
        <v>18</v>
      </c>
      <c r="AM50" s="169" t="str">
        <f t="shared" ca="1" si="5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0"/>
        <v>51</v>
      </c>
      <c r="AW50" s="168">
        <f>COUNTIF( AV$7:AV50, AV50 )</f>
        <v>1</v>
      </c>
      <c r="AX50" s="208">
        <f t="shared" si="21"/>
        <v>51.1</v>
      </c>
      <c r="AY50" s="168">
        <f t="shared" si="22"/>
        <v>51</v>
      </c>
      <c r="AZ50" s="169"/>
      <c r="BA50" s="169"/>
      <c r="BC50" s="168">
        <f t="shared" ca="1" si="23"/>
        <v>44</v>
      </c>
      <c r="BD50" s="209">
        <f t="shared" ca="1" si="7"/>
        <v>51</v>
      </c>
      <c r="BF50" s="173" t="str">
        <f t="shared" ca="1" si="24"/>
        <v>Westar Energy, Inc.</v>
      </c>
      <c r="BG50" s="173" t="str">
        <f t="shared" ca="1" si="24"/>
        <v>BBB</v>
      </c>
      <c r="BH50" s="173">
        <f t="shared" ca="1" si="24"/>
        <v>18</v>
      </c>
      <c r="BI50" s="173" t="str">
        <f t="shared" ca="1" si="24"/>
        <v>WR</v>
      </c>
    </row>
    <row r="51" spans="1:61" ht="13.9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0"/>
        <v>R</v>
      </c>
      <c r="F51" s="365"/>
      <c r="G51" s="366">
        <f t="shared" ca="1" si="1"/>
        <v>20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4"/>
        <v>51</v>
      </c>
      <c r="AK51" s="169" t="str">
        <f t="shared" ca="1" si="19"/>
        <v>BBB-</v>
      </c>
      <c r="AL51" s="169">
        <f t="shared" ca="1" si="19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0"/>
        <v>13</v>
      </c>
      <c r="AW51" s="168">
        <f>COUNTIF( AV$7:AV51, AV51 )</f>
        <v>10</v>
      </c>
      <c r="AX51" s="208">
        <f t="shared" si="21"/>
        <v>14</v>
      </c>
      <c r="AY51" s="168">
        <f t="shared" si="22"/>
        <v>22</v>
      </c>
      <c r="AZ51" s="169"/>
      <c r="BA51" s="169"/>
      <c r="BC51" s="168">
        <f t="shared" ca="1" si="23"/>
        <v>45</v>
      </c>
      <c r="BD51" s="209">
        <f t="shared" ca="1" si="7"/>
        <v>15</v>
      </c>
      <c r="BF51" s="173" t="str">
        <f t="shared" ca="1" si="24"/>
        <v>Edison International</v>
      </c>
      <c r="BG51" s="173" t="str">
        <f t="shared" ca="1" si="24"/>
        <v>BBB-</v>
      </c>
      <c r="BH51" s="173">
        <f t="shared" ca="1" si="24"/>
        <v>17</v>
      </c>
      <c r="BI51" s="173" t="str">
        <f t="shared" ca="1" si="24"/>
        <v>EIX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0"/>
        <v>MR</v>
      </c>
      <c r="F52" s="365"/>
      <c r="G52" s="366">
        <f t="shared" ca="1" si="1"/>
        <v>25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4"/>
        <v>52</v>
      </c>
      <c r="AK52" s="169" t="str">
        <f t="shared" ca="1" si="19"/>
        <v>BBB-</v>
      </c>
      <c r="AL52" s="169">
        <f t="shared" ca="1" si="19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0"/>
        <v>13</v>
      </c>
      <c r="AW52" s="168">
        <f>COUNTIF( AV$7:AV52, AV52 )</f>
        <v>11</v>
      </c>
      <c r="AX52" s="208">
        <f t="shared" si="21"/>
        <v>14.1</v>
      </c>
      <c r="AY52" s="168">
        <f t="shared" si="22"/>
        <v>23</v>
      </c>
      <c r="AZ52" s="169"/>
      <c r="BA52" s="169"/>
      <c r="BC52" s="168">
        <f t="shared" ca="1" si="23"/>
        <v>46</v>
      </c>
      <c r="BD52" s="209">
        <f t="shared" ca="1" si="7"/>
        <v>21</v>
      </c>
      <c r="BF52" s="173" t="str">
        <f t="shared" ca="1" si="24"/>
        <v>FirstEnergy Corp.</v>
      </c>
      <c r="BG52" s="173" t="str">
        <f t="shared" ca="1" si="24"/>
        <v>BBB-</v>
      </c>
      <c r="BH52" s="173">
        <f t="shared" ca="1" si="24"/>
        <v>17</v>
      </c>
      <c r="BI52" s="173" t="str">
        <f t="shared" ca="1" si="24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0"/>
        <v>MR</v>
      </c>
      <c r="F53" s="365"/>
      <c r="G53" s="366">
        <f t="shared" ca="1" si="1"/>
        <v>27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4"/>
        <v>53</v>
      </c>
      <c r="AK53" s="169" t="str">
        <f t="shared" ca="1" si="19"/>
        <v>BBB-</v>
      </c>
      <c r="AL53" s="169">
        <f t="shared" ca="1" si="19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0"/>
        <v>1</v>
      </c>
      <c r="AW53" s="168">
        <f>COUNTIF( AV$7:AV53, AV53 )</f>
        <v>1</v>
      </c>
      <c r="AX53" s="208">
        <f t="shared" si="21"/>
        <v>1.1000000000000001</v>
      </c>
      <c r="AY53" s="168">
        <f t="shared" si="22"/>
        <v>1</v>
      </c>
      <c r="AZ53" s="169"/>
      <c r="BA53" s="169"/>
      <c r="BC53" s="168">
        <f t="shared" ca="1" si="23"/>
        <v>47</v>
      </c>
      <c r="BD53" s="209">
        <f t="shared" ca="1" si="7"/>
        <v>23</v>
      </c>
      <c r="BF53" s="173" t="str">
        <f t="shared" ca="1" si="24"/>
        <v>Hawaiian Electric Industries, Inc.</v>
      </c>
      <c r="BG53" s="173" t="str">
        <f t="shared" ca="1" si="24"/>
        <v>BBB-</v>
      </c>
      <c r="BH53" s="173">
        <f t="shared" ca="1" si="24"/>
        <v>17</v>
      </c>
      <c r="BI53" s="173" t="str">
        <f t="shared" ca="1" si="24"/>
        <v>HE</v>
      </c>
    </row>
    <row r="54" spans="1:61" ht="13.9">
      <c r="A54" s="223" t="s">
        <v>287</v>
      </c>
      <c r="B54" s="224" t="s">
        <v>142</v>
      </c>
      <c r="C54" s="224">
        <v>17</v>
      </c>
      <c r="D54" s="224" t="s">
        <v>288</v>
      </c>
      <c r="E54" s="225" t="str">
        <f t="shared" ca="1" si="0"/>
        <v>R</v>
      </c>
      <c r="F54" s="365"/>
      <c r="G54" s="366">
        <f t="shared" ca="1" si="1"/>
        <v>61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4"/>
        <v>54</v>
      </c>
      <c r="AK54" s="169" t="str">
        <f t="shared" ca="1" si="19"/>
        <v>BBB-</v>
      </c>
      <c r="AL54" s="169">
        <f t="shared" ca="1" si="19"/>
        <v>17</v>
      </c>
      <c r="AM54" s="169" t="str">
        <f t="shared" ca="1" si="5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0"/>
        <v>13</v>
      </c>
      <c r="AW54" s="168">
        <f>COUNTIF( AV$7:AV54, AV54 )</f>
        <v>12</v>
      </c>
      <c r="AX54" s="208">
        <f t="shared" si="21"/>
        <v>14.2</v>
      </c>
      <c r="AY54" s="168">
        <f t="shared" si="22"/>
        <v>24</v>
      </c>
      <c r="AZ54" s="169"/>
      <c r="BA54" s="169"/>
      <c r="BC54" s="168">
        <f t="shared" ca="1" si="23"/>
        <v>48</v>
      </c>
      <c r="BD54" s="209">
        <f t="shared" ca="1" si="7"/>
        <v>27</v>
      </c>
      <c r="BF54" s="173" t="str">
        <f t="shared" ca="1" si="24"/>
        <v>IPALCO Enterprises, Inc.</v>
      </c>
      <c r="BG54" s="173" t="str">
        <f t="shared" ca="1" si="24"/>
        <v>BBB-</v>
      </c>
      <c r="BH54" s="173">
        <f t="shared" ca="1" si="24"/>
        <v>17</v>
      </c>
      <c r="BI54" s="173" t="str">
        <f t="shared" ca="1" si="24"/>
        <v>**IPALCO</v>
      </c>
    </row>
    <row r="55" spans="1:61" ht="13.9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0"/>
        <v>MR</v>
      </c>
      <c r="F55" s="365"/>
      <c r="G55" s="366">
        <f t="shared" ca="1" si="1"/>
        <v>33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4"/>
        <v>55</v>
      </c>
      <c r="AK55" s="169" t="str">
        <f t="shared" ca="1" si="19"/>
        <v>BBB-</v>
      </c>
      <c r="AL55" s="169">
        <f t="shared" ca="1" si="19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0"/>
        <v>25</v>
      </c>
      <c r="AW55" s="168">
        <f>COUNTIF( AV$7:AV55, AV55 )</f>
        <v>19</v>
      </c>
      <c r="AX55" s="208">
        <f t="shared" si="21"/>
        <v>26.9</v>
      </c>
      <c r="AY55" s="168">
        <f t="shared" si="22"/>
        <v>43</v>
      </c>
      <c r="AZ55" s="169"/>
      <c r="BA55" s="169"/>
      <c r="BC55" s="168">
        <f t="shared" ca="1" si="23"/>
        <v>49</v>
      </c>
      <c r="BD55" s="209">
        <f t="shared" ca="1" si="7"/>
        <v>31</v>
      </c>
      <c r="BF55" s="173" t="str">
        <f t="shared" ca="1" si="24"/>
        <v>NiSource Inc.</v>
      </c>
      <c r="BG55" s="173" t="str">
        <f t="shared" ca="1" si="24"/>
        <v>BBB-</v>
      </c>
      <c r="BH55" s="173">
        <f t="shared" ca="1" si="24"/>
        <v>17</v>
      </c>
      <c r="BI55" s="173" t="str">
        <f t="shared" ca="1" si="24"/>
        <v>NI</v>
      </c>
    </row>
    <row r="56" spans="1:61" ht="13.9">
      <c r="A56" s="223" t="s">
        <v>411</v>
      </c>
      <c r="B56" s="224" t="s">
        <v>142</v>
      </c>
      <c r="C56" s="224">
        <v>17</v>
      </c>
      <c r="D56" s="224" t="s">
        <v>412</v>
      </c>
      <c r="E56" s="225" t="str">
        <f t="shared" ca="1" si="0"/>
        <v>R</v>
      </c>
      <c r="F56" s="365"/>
      <c r="G56" s="366">
        <f t="shared" ca="1" si="1"/>
        <v>36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4"/>
        <v>56</v>
      </c>
      <c r="AK56" s="169" t="str">
        <f t="shared" ca="1" si="19"/>
        <v>BBB-</v>
      </c>
      <c r="AL56" s="169">
        <f t="shared" ca="1" si="19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0"/>
        <v>2</v>
      </c>
      <c r="AW56" s="168">
        <f>COUNTIF( AV$7:AV56, AV56 )</f>
        <v>9</v>
      </c>
      <c r="AX56" s="208">
        <f t="shared" si="21"/>
        <v>2.9</v>
      </c>
      <c r="AY56" s="168">
        <f t="shared" si="22"/>
        <v>10</v>
      </c>
      <c r="AZ56" s="169"/>
      <c r="BA56" s="169"/>
      <c r="BC56" s="168">
        <f t="shared" ca="1" si="23"/>
        <v>50</v>
      </c>
      <c r="BD56" s="209">
        <f t="shared" ca="1" si="7"/>
        <v>34</v>
      </c>
      <c r="BF56" s="173" t="str">
        <f t="shared" ca="1" si="24"/>
        <v>NV Energy, Inc.</v>
      </c>
      <c r="BG56" s="173" t="str">
        <f t="shared" ca="1" si="24"/>
        <v>BBB-</v>
      </c>
      <c r="BH56" s="173">
        <f t="shared" ca="1" si="24"/>
        <v>17</v>
      </c>
      <c r="BI56" s="173" t="str">
        <f t="shared" ca="1" si="24"/>
        <v>NVE</v>
      </c>
    </row>
    <row r="57" spans="1:61" ht="13.9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0"/>
        <v>R</v>
      </c>
      <c r="F57" s="365"/>
      <c r="G57" s="366">
        <f t="shared" ca="1" si="1"/>
        <v>63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4"/>
        <v>57</v>
      </c>
      <c r="AK57" s="169" t="str">
        <f t="shared" ca="1" si="19"/>
        <v>BB+</v>
      </c>
      <c r="AL57" s="169">
        <f t="shared" ca="1" si="19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0"/>
        <v>25</v>
      </c>
      <c r="AW57" s="168">
        <f>COUNTIF( AV$7:AV57, AV57 )</f>
        <v>20</v>
      </c>
      <c r="AX57" s="208">
        <f t="shared" si="21"/>
        <v>27</v>
      </c>
      <c r="AY57" s="168">
        <f t="shared" si="22"/>
        <v>44</v>
      </c>
      <c r="AZ57" s="169"/>
      <c r="BA57" s="169"/>
      <c r="BC57" s="168">
        <f t="shared" ca="1" si="23"/>
        <v>51</v>
      </c>
      <c r="BD57" s="209">
        <f t="shared" ca="1" si="7"/>
        <v>44</v>
      </c>
      <c r="BF57" s="173" t="str">
        <f t="shared" ca="1" si="24"/>
        <v>Puget Energy, Inc.</v>
      </c>
      <c r="BG57" s="173" t="str">
        <f t="shared" ca="1" si="24"/>
        <v>BB+</v>
      </c>
      <c r="BH57" s="173">
        <f t="shared" ca="1" si="24"/>
        <v>16</v>
      </c>
      <c r="BI57" s="173" t="str">
        <f t="shared" ca="1" si="24"/>
        <v>**PSD</v>
      </c>
    </row>
    <row r="58" spans="1:61" ht="13.9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0"/>
        <v>R</v>
      </c>
      <c r="F58" s="365"/>
      <c r="G58" s="366">
        <f t="shared" ca="1" si="1"/>
        <v>59</v>
      </c>
      <c r="H58" s="367"/>
      <c r="I58" s="367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4"/>
        <v>58</v>
      </c>
      <c r="AK58" s="169" t="str">
        <f t="shared" ca="1" si="19"/>
        <v>BB</v>
      </c>
      <c r="AL58" s="169">
        <f t="shared" ca="1" si="19"/>
        <v>15</v>
      </c>
      <c r="AM58" s="169" t="str">
        <f t="shared" ca="1" si="5"/>
        <v/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0"/>
        <v>2</v>
      </c>
      <c r="AW58" s="168">
        <f>COUNTIF( AV$7:AV58, AV58 )</f>
        <v>10</v>
      </c>
      <c r="AX58" s="208">
        <f t="shared" si="21"/>
        <v>3</v>
      </c>
      <c r="AY58" s="168">
        <f t="shared" si="22"/>
        <v>11</v>
      </c>
      <c r="AZ58" s="169"/>
      <c r="BA58" s="169"/>
      <c r="BC58" s="168">
        <f t="shared" ca="1" si="23"/>
        <v>52</v>
      </c>
      <c r="BD58" s="209">
        <f t="shared" ca="1" si="7"/>
        <v>12</v>
      </c>
      <c r="BF58" s="173" t="str">
        <f t="shared" ca="1" si="24"/>
        <v>DPL Inc.</v>
      </c>
      <c r="BG58" s="173" t="str">
        <f t="shared" ca="1" si="24"/>
        <v>BB</v>
      </c>
      <c r="BH58" s="173">
        <f t="shared" ca="1" si="24"/>
        <v>15</v>
      </c>
      <c r="BI58" s="173" t="str">
        <f t="shared" ca="1" si="24"/>
        <v>**DPL</v>
      </c>
    </row>
    <row r="59" spans="1:61" ht="13.9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65"/>
      <c r="G59" s="366">
        <f t="shared" ca="1" si="1"/>
        <v>60</v>
      </c>
      <c r="H59" s="367"/>
      <c r="I59" s="367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8"/>
        <v/>
      </c>
      <c r="AJ59" s="169">
        <f t="shared" ca="1" si="4"/>
        <v>59</v>
      </c>
      <c r="AK59" s="169" t="str">
        <f t="shared" ca="1" si="19"/>
        <v>CCC</v>
      </c>
      <c r="AL59" s="169">
        <f t="shared" ca="1" si="19"/>
        <v>9</v>
      </c>
      <c r="AM59" s="169" t="str">
        <f t="shared" ca="1" si="5"/>
        <v/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0"/>
        <v>2</v>
      </c>
      <c r="AW59" s="168">
        <f>COUNTIF( AV$7:AV59, AV59 )</f>
        <v>11</v>
      </c>
      <c r="AX59" s="208">
        <f t="shared" si="21"/>
        <v>3.1</v>
      </c>
      <c r="AY59" s="168">
        <f t="shared" si="22"/>
        <v>12</v>
      </c>
      <c r="AZ59" s="169"/>
      <c r="BA59" s="169"/>
      <c r="BC59" s="168">
        <f t="shared" ca="1" si="23"/>
        <v>53</v>
      </c>
      <c r="BD59" s="209">
        <f t="shared" ca="1" si="7"/>
        <v>18</v>
      </c>
      <c r="BF59" s="173" t="str">
        <f t="shared" ca="1" si="24"/>
        <v>Energy Future Holdings Corp.</v>
      </c>
      <c r="BG59" s="173" t="str">
        <f t="shared" ca="1" si="24"/>
        <v>CCC</v>
      </c>
      <c r="BH59" s="173">
        <f t="shared" ca="1" si="24"/>
        <v>9</v>
      </c>
      <c r="BI59" s="173" t="str">
        <f t="shared" ca="1" si="24"/>
        <v>**EFH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4"/>
        <v>#N/A</v>
      </c>
      <c r="AK60" s="169" t="str">
        <f t="shared" ca="1" si="19"/>
        <v/>
      </c>
      <c r="AL60" s="169" t="str">
        <f t="shared" ca="1" si="19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0"/>
        <v>99</v>
      </c>
      <c r="AW60" s="168">
        <f>COUNTIF( AV$7:AV60, AV60 )</f>
        <v>1</v>
      </c>
      <c r="AX60" s="208">
        <f t="shared" si="21"/>
        <v>99.1</v>
      </c>
      <c r="AY60" s="168">
        <f t="shared" si="22"/>
        <v>54</v>
      </c>
      <c r="AZ60" s="169"/>
      <c r="BA60" s="169"/>
      <c r="BC60" s="168">
        <f t="shared" ca="1" si="23"/>
        <v>54</v>
      </c>
      <c r="BD60" s="209">
        <f t="shared" ca="1" si="7"/>
        <v>54</v>
      </c>
      <c r="BF60" s="173">
        <f t="shared" ca="1" si="24"/>
        <v>0</v>
      </c>
      <c r="BG60" s="173">
        <f t="shared" ca="1" si="24"/>
        <v>0</v>
      </c>
      <c r="BH60" s="173">
        <f t="shared" ca="1" si="24"/>
        <v>0</v>
      </c>
      <c r="BI60" s="173">
        <f t="shared" ca="1" si="24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1"/>
        <v/>
      </c>
      <c r="H61" s="367"/>
      <c r="I61" s="367"/>
      <c r="AF61" s="169">
        <f t="shared" si="2"/>
        <v>0</v>
      </c>
      <c r="AG61" s="169" t="str">
        <f t="shared" si="3"/>
        <v/>
      </c>
      <c r="AH61" s="169" t="str">
        <f t="shared" si="18"/>
        <v/>
      </c>
      <c r="AJ61" s="169" t="e">
        <f t="shared" ca="1" si="4"/>
        <v>#N/A</v>
      </c>
      <c r="AK61" s="169" t="str">
        <f t="shared" ca="1" si="19"/>
        <v/>
      </c>
      <c r="AL61" s="169" t="str">
        <f t="shared" ca="1" si="19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0"/>
        <v>99</v>
      </c>
      <c r="AW61" s="168">
        <f>COUNTIF( AV$7:AV61, AV61 )</f>
        <v>2</v>
      </c>
      <c r="AX61" s="208">
        <f t="shared" si="21"/>
        <v>99.2</v>
      </c>
      <c r="AY61" s="168">
        <f t="shared" si="22"/>
        <v>55</v>
      </c>
      <c r="AZ61" s="169"/>
      <c r="BA61" s="169"/>
      <c r="BC61" s="168">
        <f t="shared" ca="1" si="23"/>
        <v>55</v>
      </c>
      <c r="BD61" s="209">
        <f t="shared" ca="1" si="7"/>
        <v>55</v>
      </c>
      <c r="BF61" s="173">
        <f t="shared" ca="1" si="24"/>
        <v>0</v>
      </c>
      <c r="BG61" s="173">
        <f t="shared" ca="1" si="24"/>
        <v>0</v>
      </c>
      <c r="BH61" s="173">
        <f t="shared" ca="1" si="24"/>
        <v>0</v>
      </c>
      <c r="BI61" s="173">
        <f t="shared" ca="1" si="24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1"/>
        <v>31</v>
      </c>
      <c r="H62" s="367"/>
      <c r="I62" s="367"/>
      <c r="AF62" s="169">
        <f t="shared" si="2"/>
        <v>1</v>
      </c>
      <c r="AG62" s="169" t="str">
        <f t="shared" ca="1" si="3"/>
        <v/>
      </c>
      <c r="AH62" s="169" t="str">
        <f t="shared" ca="1" si="18"/>
        <v/>
      </c>
      <c r="AJ62" s="169">
        <f t="shared" ca="1" si="4"/>
        <v>62</v>
      </c>
      <c r="AK62" s="169" t="str">
        <f t="shared" ca="1" si="19"/>
        <v>AA-</v>
      </c>
      <c r="AL62" s="169">
        <f t="shared" ca="1" si="19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0"/>
        <v>99</v>
      </c>
      <c r="AW62" s="168">
        <f>COUNTIF( AV$7:AV62, AV62 )</f>
        <v>3</v>
      </c>
      <c r="AX62" s="208">
        <f t="shared" si="21"/>
        <v>99.3</v>
      </c>
      <c r="AY62" s="168">
        <f t="shared" si="22"/>
        <v>56</v>
      </c>
      <c r="AZ62" s="169"/>
      <c r="BA62" s="169"/>
      <c r="BC62" s="168">
        <f t="shared" ca="1" si="23"/>
        <v>56</v>
      </c>
      <c r="BD62" s="209">
        <f t="shared" ca="1" si="7"/>
        <v>56</v>
      </c>
      <c r="BF62" s="173">
        <f t="shared" ca="1" si="24"/>
        <v>0</v>
      </c>
      <c r="BG62" s="173">
        <f t="shared" ca="1" si="24"/>
        <v>0</v>
      </c>
      <c r="BH62" s="173">
        <f t="shared" ca="1" si="24"/>
        <v>0</v>
      </c>
      <c r="BI62" s="173">
        <f t="shared" ca="1" si="24"/>
        <v>0</v>
      </c>
    </row>
    <row r="63" spans="1:61" ht="13.9">
      <c r="A63" s="223" t="s">
        <v>399</v>
      </c>
      <c r="B63" s="224" t="s">
        <v>141</v>
      </c>
      <c r="C63" s="224">
        <v>18</v>
      </c>
      <c r="D63" s="224" t="s">
        <v>400</v>
      </c>
      <c r="E63" s="225" t="str">
        <f ca="1">OFFSET( INDIRECT( E$3 &amp; E$4 ), $G63 - 1, 0 )</f>
        <v>R</v>
      </c>
      <c r="F63" s="365"/>
      <c r="G63" s="366">
        <f t="shared" ca="1" si="1"/>
        <v>52</v>
      </c>
      <c r="H63" s="367"/>
      <c r="I63" s="367"/>
      <c r="AF63" s="169">
        <f t="shared" si="2"/>
        <v>0</v>
      </c>
      <c r="AG63" s="169">
        <f t="shared" ca="1" si="3"/>
        <v>1</v>
      </c>
      <c r="AH63" s="169" t="str">
        <f t="shared" ca="1" si="18"/>
        <v/>
      </c>
      <c r="AJ63" s="169">
        <f t="shared" ca="1" si="4"/>
        <v>63</v>
      </c>
      <c r="AK63" s="169" t="str">
        <f t="shared" ca="1" si="19"/>
        <v>BB+</v>
      </c>
      <c r="AL63" s="169">
        <f t="shared" ca="1" si="19"/>
        <v>16</v>
      </c>
      <c r="AM63" s="169" t="str">
        <f t="shared" ca="1" si="5"/>
        <v>Change</v>
      </c>
      <c r="AQ63" s="207"/>
      <c r="AR63" s="207"/>
      <c r="AS63" s="207"/>
      <c r="AT63" s="207"/>
      <c r="AU63" s="207"/>
      <c r="AV63" s="168">
        <f t="shared" si="20"/>
        <v>99</v>
      </c>
      <c r="AW63" s="168">
        <f>COUNTIF( AV$7:AV63, AV63 )</f>
        <v>4</v>
      </c>
      <c r="AX63" s="208">
        <f t="shared" si="21"/>
        <v>99.4</v>
      </c>
      <c r="AY63" s="168">
        <f t="shared" si="22"/>
        <v>57</v>
      </c>
      <c r="AZ63" s="169"/>
      <c r="BA63" s="169"/>
      <c r="BC63" s="168">
        <f t="shared" ca="1" si="23"/>
        <v>57</v>
      </c>
      <c r="BD63" s="209">
        <f ca="1">MATCH( BC63, $AY$7:$AY$63, 0 )</f>
        <v>57</v>
      </c>
      <c r="BF63" s="173">
        <f t="shared" ca="1" si="24"/>
        <v>0</v>
      </c>
      <c r="BG63" s="173">
        <f t="shared" ca="1" si="24"/>
        <v>0</v>
      </c>
      <c r="BH63" s="173">
        <f t="shared" ca="1" si="24"/>
        <v>0</v>
      </c>
      <c r="BI63" s="173">
        <f t="shared" ca="1" si="24"/>
        <v>0</v>
      </c>
    </row>
    <row r="64" spans="1:61" ht="13.9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65"/>
      <c r="G64" s="366">
        <f t="shared" ca="1" si="1"/>
        <v>51</v>
      </c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4"/>
        <v>64</v>
      </c>
      <c r="AK64" s="169">
        <f t="shared" ca="1" si="19"/>
        <v>0</v>
      </c>
      <c r="AL64" s="169">
        <f t="shared" ca="1" si="19"/>
        <v>0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4"/>
        <v>#N/A</v>
      </c>
      <c r="AK65" s="169" t="str">
        <f t="shared" ca="1" si="19"/>
        <v/>
      </c>
      <c r="AL65" s="169" t="str">
        <f t="shared" ca="1" si="19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5">IF( LEN( $C66 ) = 0, "", IF( $C66 &gt; $AL66, 1, "" ) )</f>
        <v/>
      </c>
      <c r="AH66" s="169" t="str">
        <f t="shared" si="18"/>
        <v/>
      </c>
      <c r="AJ66" s="169" t="e">
        <f t="shared" ca="1" si="4"/>
        <v>#N/A</v>
      </c>
      <c r="AK66" s="169" t="str">
        <f t="shared" ca="1" si="19"/>
        <v/>
      </c>
      <c r="AL66" s="169" t="str">
        <f t="shared" ca="1" si="19"/>
        <v/>
      </c>
      <c r="AM66" s="169" t="str">
        <f t="shared" ca="1" si="5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5"/>
        <v/>
      </c>
      <c r="AH67" s="169" t="str">
        <f t="shared" si="18"/>
        <v/>
      </c>
      <c r="AJ67" s="169" t="e">
        <f t="shared" ca="1" si="4"/>
        <v>#N/A</v>
      </c>
      <c r="AK67" s="169" t="str">
        <f t="shared" ca="1" si="19"/>
        <v/>
      </c>
      <c r="AL67" s="169" t="str">
        <f t="shared" ca="1" si="19"/>
        <v/>
      </c>
      <c r="AM67" s="169" t="str">
        <f t="shared" ca="1" si="5"/>
        <v/>
      </c>
      <c r="AQ67" s="207" t="s">
        <v>402</v>
      </c>
      <c r="AR67" s="207" t="s">
        <v>141</v>
      </c>
      <c r="AS67" s="207">
        <v>18</v>
      </c>
      <c r="AT67" s="207" t="s">
        <v>400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18.399999999999999</v>
      </c>
      <c r="D68" s="201"/>
      <c r="E68" s="201"/>
      <c r="F68" s="367"/>
      <c r="H68" s="367"/>
      <c r="I68" s="367"/>
      <c r="J68" s="368"/>
      <c r="K68" s="368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5" t="s">
        <v>403</v>
      </c>
      <c r="D74" s="204"/>
      <c r="F74" s="206"/>
      <c r="H74" s="206"/>
      <c r="I74" s="206"/>
    </row>
    <row r="75" spans="1:58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D76" s="204"/>
      <c r="F76" s="206"/>
      <c r="H76" s="206"/>
      <c r="I76" s="206"/>
      <c r="AQ76" s="207"/>
      <c r="AR76" s="207"/>
      <c r="AS76" s="207"/>
    </row>
    <row r="77" spans="1:58">
      <c r="A77" s="203"/>
      <c r="AQ77" s="207"/>
      <c r="AR77" s="207"/>
      <c r="AS77" s="207"/>
    </row>
    <row r="78" spans="1:58">
      <c r="C78" s="190">
        <f>SUMPRODUCT( L8:L13, Y8:Y13 ) / L14</f>
        <v>18.509090909090908</v>
      </c>
      <c r="E78" s="191"/>
      <c r="G78" s="370"/>
      <c r="J78" s="173"/>
      <c r="K78" s="173"/>
      <c r="AQ78" s="207"/>
      <c r="AR78" s="207"/>
      <c r="AS78" s="207"/>
    </row>
    <row r="79" spans="1:58" s="173" customFormat="1" ht="13.9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  <pageSetUpPr fitToPage="1"/>
  </sheetPr>
  <dimension ref="C1:CI40"/>
  <sheetViews>
    <sheetView showGridLines="0" zoomScale="90" zoomScaleNormal="90" workbookViewId="0"/>
  </sheetViews>
  <sheetFormatPr defaultColWidth="9.140625" defaultRowHeight="13.9" outlineLevelCol="2"/>
  <cols>
    <col min="1" max="2" width="2.85546875" style="187" customWidth="1"/>
    <col min="3" max="3" width="2.7109375" style="187" customWidth="1"/>
    <col min="4" max="4" width="24.7109375" style="187" customWidth="1"/>
    <col min="5" max="5" width="6.7109375" style="187" hidden="1" customWidth="1" outlineLevel="1"/>
    <col min="6" max="6" width="5.85546875" style="187" hidden="1" customWidth="1" outlineLevel="1"/>
    <col min="7" max="7" width="4.5703125" style="187" hidden="1" customWidth="1" outlineLevel="1"/>
    <col min="8" max="8" width="6.7109375" style="187" hidden="1" customWidth="1" outlineLevel="1"/>
    <col min="9" max="9" width="5.85546875" style="187" hidden="1" customWidth="1" outlineLevel="1"/>
    <col min="10" max="10" width="4.5703125" style="187" hidden="1" customWidth="1" outlineLevel="1"/>
    <col min="11" max="11" width="6.7109375" style="187" hidden="1" customWidth="1" outlineLevel="1"/>
    <col min="12" max="12" width="5.85546875" style="187" hidden="1" customWidth="1" outlineLevel="1"/>
    <col min="13" max="13" width="4.5703125" style="187" hidden="1" customWidth="1" outlineLevel="1"/>
    <col min="14" max="14" width="6.7109375" style="187" hidden="1" customWidth="1" outlineLevel="1"/>
    <col min="15" max="15" width="5.85546875" style="187" hidden="1" customWidth="1" outlineLevel="1"/>
    <col min="16" max="16" width="4.5703125" style="187" hidden="1" customWidth="1" outlineLevel="1"/>
    <col min="17" max="17" width="6.7109375" style="187" hidden="1" customWidth="1" outlineLevel="1"/>
    <col min="18" max="18" width="5.85546875" style="187" hidden="1" customWidth="1" outlineLevel="1"/>
    <col min="19" max="19" width="4.5703125" style="187" hidden="1" customWidth="1" outlineLevel="1"/>
    <col min="20" max="20" width="6.7109375" style="187" hidden="1" customWidth="1" outlineLevel="1"/>
    <col min="21" max="21" width="5.85546875" style="187" hidden="1" customWidth="1" outlineLevel="1"/>
    <col min="22" max="22" width="4.5703125" style="187" hidden="1" customWidth="1" outlineLevel="1"/>
    <col min="23" max="23" width="6.7109375" style="187" hidden="1" customWidth="1" outlineLevel="1"/>
    <col min="24" max="24" width="5.85546875" style="187" hidden="1" customWidth="1" outlineLevel="1"/>
    <col min="25" max="25" width="4.5703125" style="187" hidden="1" customWidth="1" outlineLevel="1"/>
    <col min="26" max="26" width="6.7109375" style="187" hidden="1" customWidth="1" outlineLevel="1"/>
    <col min="27" max="27" width="5.85546875" style="187" hidden="1" customWidth="1" outlineLevel="1"/>
    <col min="28" max="28" width="4.5703125" style="187" hidden="1" customWidth="1" outlineLevel="1"/>
    <col min="29" max="29" width="6.7109375" style="187" hidden="1" customWidth="1" outlineLevel="1"/>
    <col min="30" max="30" width="5.85546875" style="187" hidden="1" customWidth="1" outlineLevel="1"/>
    <col min="31" max="31" width="4.5703125" style="187" hidden="1" customWidth="1" outlineLevel="1"/>
    <col min="32" max="32" width="6.7109375" style="187" hidden="1" customWidth="1" outlineLevel="1"/>
    <col min="33" max="33" width="5.85546875" style="187" hidden="1" customWidth="1" outlineLevel="1"/>
    <col min="34" max="34" width="4.5703125" style="187" hidden="1" customWidth="1" outlineLevel="1"/>
    <col min="35" max="35" width="6.7109375" style="187" hidden="1" customWidth="1" outlineLevel="1"/>
    <col min="36" max="36" width="5.85546875" style="187" hidden="1" customWidth="1" outlineLevel="1"/>
    <col min="37" max="37" width="1.5703125" style="187" hidden="1" customWidth="1" outlineLevel="1"/>
    <col min="38" max="38" width="6.7109375" style="187" customWidth="1" collapsed="1"/>
    <col min="39" max="39" width="5.85546875" style="187" customWidth="1"/>
    <col min="40" max="40" width="4.5703125" style="187" customWidth="1"/>
    <col min="41" max="41" width="6.7109375" style="187" customWidth="1"/>
    <col min="42" max="42" width="5.85546875" style="187" customWidth="1"/>
    <col min="43" max="43" width="4.5703125" style="187" customWidth="1"/>
    <col min="44" max="44" width="6.7109375" style="187" customWidth="1"/>
    <col min="45" max="45" width="5.85546875" style="187" customWidth="1"/>
    <col min="46" max="46" width="4.5703125" style="187" customWidth="1"/>
    <col min="47" max="47" width="6.7109375" style="187" customWidth="1"/>
    <col min="48" max="48" width="5.85546875" style="187" customWidth="1"/>
    <col min="49" max="49" width="4.5703125" style="187" customWidth="1"/>
    <col min="50" max="50" width="6.7109375" style="187" customWidth="1"/>
    <col min="51" max="51" width="5.85546875" style="187" customWidth="1"/>
    <col min="52" max="52" width="4.5703125" style="187" customWidth="1"/>
    <col min="53" max="53" width="6.7109375" style="187" customWidth="1"/>
    <col min="54" max="54" width="5.85546875" style="187" customWidth="1"/>
    <col min="55" max="55" width="4.5703125" style="187" customWidth="1"/>
    <col min="56" max="56" width="6.7109375" style="187" customWidth="1"/>
    <col min="57" max="58" width="5.85546875" style="187" customWidth="1"/>
    <col min="59" max="59" width="6.7109375" style="187" customWidth="1"/>
    <col min="60" max="61" width="5.85546875" style="187" customWidth="1"/>
    <col min="62" max="62" width="6.7109375" style="187" customWidth="1"/>
    <col min="63" max="63" width="5.85546875" style="187" customWidth="1"/>
    <col min="64" max="64" width="4.5703125" style="187" customWidth="1"/>
    <col min="65" max="65" width="3.5703125" style="187" hidden="1" customWidth="1" outlineLevel="1"/>
    <col min="66" max="66" width="3.85546875" style="187" hidden="1" customWidth="1" outlineLevel="2"/>
    <col min="67" max="67" width="6.42578125" style="185" hidden="1" customWidth="1" outlineLevel="2"/>
    <col min="68" max="68" width="16.7109375" style="187" hidden="1" customWidth="1" outlineLevel="2"/>
    <col min="69" max="69" width="6.5703125" style="187" hidden="1" customWidth="1" outlineLevel="2"/>
    <col min="70" max="70" width="16.7109375" style="187" hidden="1" customWidth="1" outlineLevel="2"/>
    <col min="71" max="71" width="6.5703125" style="187" hidden="1" customWidth="1" outlineLevel="2"/>
    <col min="72" max="72" width="16.7109375" style="187" hidden="1" customWidth="1" outlineLevel="2"/>
    <col min="73" max="73" width="6.5703125" style="187" hidden="1" customWidth="1" outlineLevel="2"/>
    <col min="74" max="74" width="16.7109375" style="187" hidden="1" customWidth="1" outlineLevel="2"/>
    <col min="75" max="75" width="6.5703125" style="187" hidden="1" customWidth="1" outlineLevel="2"/>
    <col min="76" max="76" width="16.7109375" style="187" hidden="1" customWidth="1" outlineLevel="2"/>
    <col min="77" max="77" width="6.5703125" style="187" hidden="1" customWidth="1" outlineLevel="2"/>
    <col min="78" max="78" width="16.7109375" style="187" hidden="1" customWidth="1" outlineLevel="2"/>
    <col min="79" max="79" width="6.5703125" style="187" hidden="1" customWidth="1" outlineLevel="2"/>
    <col min="80" max="80" width="16.7109375" style="187" hidden="1" customWidth="1" outlineLevel="2"/>
    <col min="81" max="81" width="6.5703125" style="187" hidden="1" customWidth="1" outlineLevel="2"/>
    <col min="82" max="82" width="16.7109375" style="187" hidden="1" customWidth="1" outlineLevel="2"/>
    <col min="83" max="83" width="6.5703125" style="187" hidden="1" customWidth="1" outlineLevel="2"/>
    <col min="84" max="84" width="16.7109375" style="187" hidden="1" customWidth="1" outlineLevel="2"/>
    <col min="85" max="85" width="6.5703125" style="187" hidden="1" customWidth="1" outlineLevel="2"/>
    <col min="86" max="86" width="16.7109375" style="187" hidden="1" customWidth="1" outlineLevel="1" collapsed="1"/>
    <col min="87" max="87" width="9.140625" style="187" collapsed="1"/>
    <col min="88" max="16384" width="9.140625" style="187"/>
  </cols>
  <sheetData>
    <row r="1" spans="3:86" ht="18">
      <c r="C1" s="167"/>
      <c r="D1" s="167" t="s">
        <v>119</v>
      </c>
    </row>
    <row r="4" spans="3:86">
      <c r="C4" s="250"/>
      <c r="D4" s="250"/>
    </row>
    <row r="5" spans="3:86" ht="27" customHeight="1">
      <c r="C5" s="349" t="s">
        <v>120</v>
      </c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251"/>
      <c r="T5" s="251"/>
      <c r="U5" s="251"/>
      <c r="V5" s="251"/>
      <c r="W5" s="252"/>
      <c r="X5" s="252"/>
      <c r="Y5" s="251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3"/>
      <c r="BK5" s="253"/>
      <c r="BP5" s="256" t="s">
        <v>121</v>
      </c>
      <c r="BQ5" s="256"/>
      <c r="BR5" s="256" t="s">
        <v>122</v>
      </c>
      <c r="BS5" s="256"/>
      <c r="BT5" s="256" t="s">
        <v>123</v>
      </c>
      <c r="BU5" s="256"/>
      <c r="BV5" s="256" t="s">
        <v>124</v>
      </c>
      <c r="BW5" s="256"/>
      <c r="BX5" s="256" t="s">
        <v>125</v>
      </c>
      <c r="BY5" s="256"/>
      <c r="BZ5" s="256" t="s">
        <v>126</v>
      </c>
      <c r="CA5" s="256"/>
      <c r="CB5" s="256" t="s">
        <v>127</v>
      </c>
      <c r="CC5" s="256"/>
      <c r="CD5" s="256" t="s">
        <v>128</v>
      </c>
      <c r="CE5" s="256"/>
      <c r="CF5" s="256" t="s">
        <v>129</v>
      </c>
      <c r="CG5" s="256"/>
      <c r="CH5" s="256" t="s">
        <v>130</v>
      </c>
    </row>
    <row r="6" spans="3:86">
      <c r="BJ6" s="254"/>
      <c r="BK6" s="254"/>
    </row>
    <row r="7" spans="3:86" s="203" customFormat="1">
      <c r="E7" s="351">
        <v>37621</v>
      </c>
      <c r="F7" s="352"/>
      <c r="G7" s="298"/>
      <c r="H7" s="351">
        <v>37986</v>
      </c>
      <c r="I7" s="352"/>
      <c r="J7" s="250"/>
      <c r="K7" s="351">
        <v>38352</v>
      </c>
      <c r="L7" s="352"/>
      <c r="M7" s="298"/>
      <c r="N7" s="351">
        <v>38717</v>
      </c>
      <c r="O7" s="352"/>
      <c r="P7" s="189"/>
      <c r="Q7" s="351">
        <v>39082</v>
      </c>
      <c r="R7" s="352"/>
      <c r="S7" s="189"/>
      <c r="T7" s="351" t="s">
        <v>131</v>
      </c>
      <c r="U7" s="352"/>
      <c r="V7" s="189"/>
      <c r="W7" s="351" t="s">
        <v>132</v>
      </c>
      <c r="X7" s="352"/>
      <c r="Y7" s="189"/>
      <c r="Z7" s="351">
        <v>40178</v>
      </c>
      <c r="AA7" s="352"/>
      <c r="AB7" s="189"/>
      <c r="AC7" s="351">
        <v>40543</v>
      </c>
      <c r="AD7" s="352"/>
      <c r="AE7" s="189"/>
      <c r="AF7" s="351">
        <v>40908</v>
      </c>
      <c r="AG7" s="352"/>
      <c r="AH7" s="189"/>
      <c r="AI7" s="351">
        <v>41274</v>
      </c>
      <c r="AJ7" s="352"/>
      <c r="AK7" s="189"/>
      <c r="AL7" s="351" t="str">
        <f ca="1">INDIRECT( BR7 )</f>
        <v>2013 Q4</v>
      </c>
      <c r="AM7" s="352"/>
      <c r="AN7" s="189"/>
      <c r="AO7" s="351" t="str">
        <f ca="1">INDIRECT( BT7 )</f>
        <v>2014 Q4</v>
      </c>
      <c r="AP7" s="352"/>
      <c r="AQ7" s="189"/>
      <c r="AR7" s="351" t="str">
        <f ca="1">INDIRECT( BV7 )</f>
        <v>2015 Q4</v>
      </c>
      <c r="AS7" s="352"/>
      <c r="AT7" s="189"/>
      <c r="AU7" s="351" t="str">
        <f ca="1">INDIRECT( BX7 )</f>
        <v>2016 Q4</v>
      </c>
      <c r="AV7" s="352"/>
      <c r="AW7" s="189"/>
      <c r="AX7" s="351" t="str">
        <f ca="1">INDIRECT( BZ7 )</f>
        <v>2017 Q4</v>
      </c>
      <c r="AY7" s="352"/>
      <c r="AZ7" s="189"/>
      <c r="BA7" s="351" t="str">
        <f ca="1">INDIRECT( CB7 )</f>
        <v>2018 Q4</v>
      </c>
      <c r="BB7" s="352"/>
      <c r="BC7" s="189"/>
      <c r="BD7" s="351" t="str">
        <f ca="1">INDIRECT( CD7 )</f>
        <v>2019 Q4</v>
      </c>
      <c r="BE7" s="352"/>
      <c r="BF7" s="189"/>
      <c r="BG7" s="351" t="str">
        <f ca="1">INDIRECT( CF7 )</f>
        <v>2020 Q4</v>
      </c>
      <c r="BH7" s="352"/>
      <c r="BI7" s="189"/>
      <c r="BJ7" s="353" t="str">
        <f ca="1">INDIRECT( CH7 )</f>
        <v>2021 Q4</v>
      </c>
      <c r="BK7" s="353"/>
      <c r="BO7" s="262" t="s">
        <v>133</v>
      </c>
      <c r="BP7" s="187" t="str">
        <f ca="1">BP$5 &amp; "!" &amp;$BO7</f>
        <v>'Credit_2012Q4'!b6</v>
      </c>
      <c r="BR7" s="187" t="str">
        <f ca="1">BR$5 &amp; "!" &amp;$BO7</f>
        <v>'Credit_2013Q4'!b6</v>
      </c>
      <c r="BT7" s="187" t="str">
        <f ca="1">BT$5 &amp; "!" &amp;$BO7</f>
        <v>'Credit_2014Q4'!b6</v>
      </c>
      <c r="BV7" s="187" t="str">
        <f ca="1">BV$5 &amp; "!" &amp;$BO7</f>
        <v>'Credit_2015Q4'!b6</v>
      </c>
      <c r="BX7" s="187" t="str">
        <f ca="1">BX$5 &amp; "!" &amp;$BO7</f>
        <v>'Credit_2016Q4'!b6</v>
      </c>
      <c r="BZ7" s="187" t="str">
        <f ca="1">BZ$5 &amp; "!" &amp;$BO7</f>
        <v>'Credit_2017Q4'!b6</v>
      </c>
      <c r="CB7" s="187" t="str">
        <f ca="1">CB$5 &amp; "!" &amp;$BO7</f>
        <v>'Credit_2018Q4'!b6</v>
      </c>
      <c r="CD7" s="187" t="str">
        <f ca="1">CD$5 &amp; "!" &amp;$BO7</f>
        <v>'Credit_2019Q4'!b6</v>
      </c>
      <c r="CF7" s="187" t="str">
        <f ca="1">CF$5 &amp; "!" &amp;$BO7</f>
        <v>'Credit_2020Q4'!b6</v>
      </c>
      <c r="CH7" s="187" t="str">
        <f ca="1">CH$5 &amp; "!" &amp;$BO7</f>
        <v>'Credit_2021Q4'!b6</v>
      </c>
    </row>
    <row r="8" spans="3:86" s="203" customFormat="1">
      <c r="E8" s="185" t="s">
        <v>134</v>
      </c>
      <c r="F8" s="272" t="s">
        <v>135</v>
      </c>
      <c r="G8" s="185"/>
      <c r="H8" s="185" t="s">
        <v>134</v>
      </c>
      <c r="I8" s="272" t="s">
        <v>135</v>
      </c>
      <c r="J8" s="185"/>
      <c r="K8" s="185" t="s">
        <v>134</v>
      </c>
      <c r="L8" s="272" t="s">
        <v>135</v>
      </c>
      <c r="M8" s="185"/>
      <c r="N8" s="185" t="s">
        <v>134</v>
      </c>
      <c r="O8" s="272" t="s">
        <v>135</v>
      </c>
      <c r="P8" s="272"/>
      <c r="Q8" s="185" t="s">
        <v>134</v>
      </c>
      <c r="R8" s="185" t="s">
        <v>135</v>
      </c>
      <c r="S8" s="272"/>
      <c r="T8" s="185" t="s">
        <v>134</v>
      </c>
      <c r="U8" s="185" t="s">
        <v>135</v>
      </c>
      <c r="V8" s="272"/>
      <c r="W8" s="185" t="s">
        <v>134</v>
      </c>
      <c r="X8" s="255" t="s">
        <v>135</v>
      </c>
      <c r="Y8" s="272"/>
      <c r="Z8" s="185" t="s">
        <v>134</v>
      </c>
      <c r="AA8" s="255" t="s">
        <v>135</v>
      </c>
      <c r="AB8" s="272"/>
      <c r="AC8" s="185" t="s">
        <v>134</v>
      </c>
      <c r="AD8" s="255" t="s">
        <v>135</v>
      </c>
      <c r="AE8" s="272"/>
      <c r="AF8" s="185" t="s">
        <v>134</v>
      </c>
      <c r="AG8" s="255" t="s">
        <v>135</v>
      </c>
      <c r="AH8" s="272"/>
      <c r="AI8" s="185" t="s">
        <v>134</v>
      </c>
      <c r="AJ8" s="255" t="s">
        <v>135</v>
      </c>
      <c r="AK8" s="272"/>
      <c r="AL8" s="185" t="s">
        <v>134</v>
      </c>
      <c r="AM8" s="255" t="s">
        <v>135</v>
      </c>
      <c r="AN8" s="272"/>
      <c r="AO8" s="185" t="s">
        <v>134</v>
      </c>
      <c r="AP8" s="255" t="s">
        <v>135</v>
      </c>
      <c r="AQ8" s="272"/>
      <c r="AR8" s="185" t="s">
        <v>134</v>
      </c>
      <c r="AS8" s="255" t="s">
        <v>135</v>
      </c>
      <c r="AT8" s="272"/>
      <c r="AU8" s="185" t="s">
        <v>134</v>
      </c>
      <c r="AV8" s="255" t="s">
        <v>135</v>
      </c>
      <c r="AW8" s="272"/>
      <c r="AX8" s="185" t="s">
        <v>134</v>
      </c>
      <c r="AY8" s="255" t="s">
        <v>135</v>
      </c>
      <c r="AZ8" s="272"/>
      <c r="BA8" s="185" t="s">
        <v>134</v>
      </c>
      <c r="BB8" s="255" t="s">
        <v>135</v>
      </c>
      <c r="BC8" s="272"/>
      <c r="BD8" s="185" t="s">
        <v>134</v>
      </c>
      <c r="BE8" s="255" t="s">
        <v>135</v>
      </c>
      <c r="BF8" s="255"/>
      <c r="BG8" s="185" t="s">
        <v>134</v>
      </c>
      <c r="BH8" s="255" t="s">
        <v>135</v>
      </c>
      <c r="BI8" s="255"/>
      <c r="BJ8" s="280" t="s">
        <v>134</v>
      </c>
      <c r="BK8" s="281" t="s">
        <v>135</v>
      </c>
      <c r="BO8" s="255"/>
    </row>
    <row r="9" spans="3:86" s="203" customFormat="1">
      <c r="E9" s="185"/>
      <c r="F9" s="272"/>
      <c r="G9" s="185"/>
      <c r="H9" s="185"/>
      <c r="I9" s="272"/>
      <c r="J9" s="185"/>
      <c r="K9" s="185"/>
      <c r="L9" s="272"/>
      <c r="M9" s="185"/>
      <c r="N9" s="185"/>
      <c r="O9" s="272"/>
      <c r="P9" s="272"/>
      <c r="Q9" s="185"/>
      <c r="R9" s="185"/>
      <c r="S9" s="272"/>
      <c r="T9" s="185"/>
      <c r="U9" s="185"/>
      <c r="V9" s="272"/>
      <c r="W9" s="185"/>
      <c r="X9" s="255"/>
      <c r="Y9" s="272"/>
      <c r="Z9" s="185"/>
      <c r="AA9" s="255"/>
      <c r="AB9" s="272"/>
      <c r="AC9" s="185"/>
      <c r="AD9" s="255"/>
      <c r="AE9" s="272"/>
      <c r="AF9" s="185"/>
      <c r="AG9" s="255"/>
      <c r="AH9" s="272"/>
      <c r="AI9" s="185"/>
      <c r="AJ9" s="255"/>
      <c r="AK9" s="272"/>
      <c r="AL9" s="185"/>
      <c r="AM9" s="255"/>
      <c r="AN9" s="272"/>
      <c r="AO9" s="185"/>
      <c r="AP9" s="255"/>
      <c r="AQ9" s="272"/>
      <c r="AR9" s="185"/>
      <c r="AS9" s="255"/>
      <c r="AT9" s="272"/>
      <c r="AU9" s="185"/>
      <c r="AV9" s="255"/>
      <c r="AW9" s="272"/>
      <c r="AX9" s="185"/>
      <c r="AY9" s="255"/>
      <c r="AZ9" s="272"/>
      <c r="BA9" s="185"/>
      <c r="BB9" s="255"/>
      <c r="BC9" s="272"/>
      <c r="BD9" s="185"/>
      <c r="BE9" s="255"/>
      <c r="BF9" s="255"/>
      <c r="BG9" s="185"/>
      <c r="BH9" s="255"/>
      <c r="BI9" s="255"/>
      <c r="BJ9" s="280"/>
      <c r="BK9" s="281"/>
      <c r="BO9" s="255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</row>
    <row r="10" spans="3:86">
      <c r="C10" s="257"/>
      <c r="D10" s="257" t="s">
        <v>136</v>
      </c>
      <c r="E10" s="282"/>
      <c r="F10" s="273"/>
      <c r="G10" s="258"/>
      <c r="H10" s="282"/>
      <c r="I10" s="273"/>
      <c r="J10" s="258"/>
      <c r="K10" s="282"/>
      <c r="L10" s="273"/>
      <c r="M10" s="258"/>
      <c r="N10" s="282"/>
      <c r="O10" s="273"/>
      <c r="P10" s="273"/>
      <c r="Q10" s="283"/>
      <c r="R10" s="282"/>
      <c r="S10" s="273"/>
      <c r="T10" s="283"/>
      <c r="U10" s="282"/>
      <c r="V10" s="273"/>
      <c r="W10" s="284"/>
      <c r="X10" s="284"/>
      <c r="Y10" s="273"/>
      <c r="Z10" s="284"/>
      <c r="AA10" s="284"/>
      <c r="AB10" s="273"/>
      <c r="AC10" s="284"/>
      <c r="AD10" s="284"/>
      <c r="AE10" s="273"/>
      <c r="AF10" s="284"/>
      <c r="AG10" s="284"/>
      <c r="AH10" s="273"/>
      <c r="AI10" s="284"/>
      <c r="AJ10" s="284"/>
      <c r="AK10" s="273"/>
      <c r="AL10" s="284"/>
      <c r="AM10" s="284"/>
      <c r="AN10" s="273"/>
      <c r="AO10" s="284"/>
      <c r="AP10" s="284"/>
      <c r="AQ10" s="273"/>
      <c r="AR10" s="284"/>
      <c r="AS10" s="284"/>
      <c r="AT10" s="273"/>
      <c r="AU10" s="284"/>
      <c r="AV10" s="284"/>
      <c r="AW10" s="273"/>
      <c r="AX10" s="284"/>
      <c r="AY10" s="284"/>
      <c r="AZ10" s="273"/>
      <c r="BA10" s="284"/>
      <c r="BB10" s="284"/>
      <c r="BC10" s="273"/>
      <c r="BD10" s="284"/>
      <c r="BE10" s="284"/>
      <c r="BF10" s="284"/>
      <c r="BG10" s="284"/>
      <c r="BH10" s="284"/>
      <c r="BI10" s="284"/>
      <c r="BJ10" s="285"/>
      <c r="BK10" s="285"/>
    </row>
    <row r="11" spans="3:86">
      <c r="C11" s="259"/>
      <c r="D11" s="259" t="s">
        <v>137</v>
      </c>
      <c r="E11" s="213">
        <v>6</v>
      </c>
      <c r="F11" s="274">
        <f t="shared" ref="F11:F16" ca="1" si="0">E11/$E$17</f>
        <v>0.1875</v>
      </c>
      <c r="G11" s="260"/>
      <c r="H11" s="213">
        <v>6</v>
      </c>
      <c r="I11" s="274">
        <f t="shared" ref="I11:I16" ca="1" si="1">H11/$H$17</f>
        <v>0.16666666666666666</v>
      </c>
      <c r="J11" s="260"/>
      <c r="K11" s="213">
        <v>7</v>
      </c>
      <c r="L11" s="274">
        <f t="shared" ref="L11:L16" ca="1" si="2">K11/$K$17</f>
        <v>0.19444444444444445</v>
      </c>
      <c r="M11" s="260"/>
      <c r="N11" s="213">
        <v>7</v>
      </c>
      <c r="O11" s="274">
        <f t="shared" ref="O11:O16" ca="1" si="3">N11/$N$17</f>
        <v>0.19444444444444445</v>
      </c>
      <c r="P11" s="274"/>
      <c r="Q11" s="213">
        <v>6</v>
      </c>
      <c r="R11" s="274">
        <f t="shared" ref="R11:R16" ca="1" si="4">Q11/$Q$17</f>
        <v>0.1875</v>
      </c>
      <c r="S11" s="274"/>
      <c r="T11" s="213">
        <v>5</v>
      </c>
      <c r="U11" s="274">
        <f t="shared" ref="U11:U16" ca="1" si="5">T11/$T$17</f>
        <v>0.13157894736842105</v>
      </c>
      <c r="V11" s="274"/>
      <c r="W11" s="213">
        <v>3</v>
      </c>
      <c r="X11" s="274">
        <f t="shared" ref="X11:X16" ca="1" si="6">W11/$W$17</f>
        <v>7.6923076923076927E-2</v>
      </c>
      <c r="Y11" s="274"/>
      <c r="Z11" s="213">
        <v>3</v>
      </c>
      <c r="AA11" s="274">
        <f t="shared" ref="AA11:AA16" ca="1" si="7">Z11/Z$17</f>
        <v>7.3170731707317069E-2</v>
      </c>
      <c r="AB11" s="274"/>
      <c r="AC11" s="213">
        <f ca="1">Credit_2010Q4!$AD8</f>
        <v>3</v>
      </c>
      <c r="AD11" s="274">
        <f t="shared" ref="AD11:AD16" ca="1" si="8">AC11/AC$17</f>
        <v>8.5714285714285715E-2</v>
      </c>
      <c r="AE11" s="274"/>
      <c r="AF11" s="213">
        <f ca="1">Credit_2011Q4!$AD8</f>
        <v>3</v>
      </c>
      <c r="AG11" s="274">
        <f t="shared" ref="AG11:AG16" ca="1" si="9">AF11/AF$17</f>
        <v>8.1081081081081086E-2</v>
      </c>
      <c r="AH11" s="274"/>
      <c r="AI11" s="213">
        <f t="shared" ref="AI11:AI16" ca="1" si="10">INDIRECT( BP11 &amp; $BN11 )</f>
        <v>2</v>
      </c>
      <c r="AJ11" s="274">
        <f t="shared" ref="AJ11:AJ16" ca="1" si="11">AI11/AI$17</f>
        <v>5.5555555555555552E-2</v>
      </c>
      <c r="AK11" s="274"/>
      <c r="AL11" s="213">
        <f t="shared" ref="AL11:AL16" ca="1" si="12">INDIRECT( BR11 &amp; $BN11 )</f>
        <v>1</v>
      </c>
      <c r="AM11" s="274">
        <f t="shared" ref="AM11:AM16" ca="1" si="13">AL11/AL$17</f>
        <v>2.8571428571428571E-2</v>
      </c>
      <c r="AN11" s="274"/>
      <c r="AO11" s="213">
        <f ca="1">INDIRECT( BT11 &amp; $BN11 )</f>
        <v>1</v>
      </c>
      <c r="AP11" s="274">
        <f t="shared" ref="AP11:AP16" ca="1" si="14">AO11/AO$17</f>
        <v>2.6315789473684209E-2</v>
      </c>
      <c r="AQ11" s="274"/>
      <c r="AR11" s="213">
        <f t="shared" ref="AR11:AR16" ca="1" si="15">INDIRECT( BV11 &amp; $BN11 )</f>
        <v>1</v>
      </c>
      <c r="AS11" s="274">
        <f t="shared" ref="AS11:AS16" ca="1" si="16">AR11/AR$17</f>
        <v>2.7777777777777776E-2</v>
      </c>
      <c r="AT11" s="274"/>
      <c r="AU11" s="213">
        <f t="shared" ref="AU11:AU16" ca="1" si="17">INDIRECT( BX11 &amp; $BN11 )</f>
        <v>2</v>
      </c>
      <c r="AV11" s="274">
        <f t="shared" ref="AV11:AV16" ca="1" si="18">AU11/AU$17</f>
        <v>5.5555555555555552E-2</v>
      </c>
      <c r="AW11" s="274"/>
      <c r="AX11" s="213">
        <f t="shared" ref="AX11:AX16" ca="1" si="19">INDIRECT( BZ11 &amp; $BN11 )</f>
        <v>2</v>
      </c>
      <c r="AY11" s="274">
        <f t="shared" ref="AY11:AY16" ca="1" si="20">AX11/AX$17</f>
        <v>5.7142857142857141E-2</v>
      </c>
      <c r="AZ11" s="274"/>
      <c r="BA11" s="213">
        <f ca="1">INDIRECT( CB11 &amp; $BN11 )</f>
        <v>1</v>
      </c>
      <c r="BB11" s="274">
        <f t="shared" ref="BB11:BB16" ca="1" si="21">BA11/BA$17</f>
        <v>2.9411764705882353E-2</v>
      </c>
      <c r="BC11" s="274"/>
      <c r="BD11" s="213">
        <f t="shared" ref="BD11:BD16" ca="1" si="22">INDIRECT( CD11 &amp; $BN11 )</f>
        <v>1</v>
      </c>
      <c r="BE11" s="274">
        <f t="shared" ref="BE11:BE16" ca="1" si="23">BD11/BD$17</f>
        <v>2.8571428571428571E-2</v>
      </c>
      <c r="BF11" s="274"/>
      <c r="BG11" s="213">
        <f t="shared" ref="BG11:BG16" ca="1" si="24">INDIRECT( CF11 &amp; $BN11 )</f>
        <v>1</v>
      </c>
      <c r="BH11" s="274">
        <f t="shared" ref="BH11:BH16" ca="1" si="25">BG11/BG$17</f>
        <v>2.9411764705882353E-2</v>
      </c>
      <c r="BI11" s="274"/>
      <c r="BJ11" s="286">
        <f t="shared" ref="BJ11:BJ16" ca="1" si="26">INDIRECT( CH11 &amp; $BN11 )</f>
        <v>1</v>
      </c>
      <c r="BK11" s="292">
        <f t="shared" ref="BK11:BK16" ca="1" si="27">BJ11/BJ$17</f>
        <v>2.8571428571428571E-2</v>
      </c>
      <c r="BN11" s="261">
        <v>8</v>
      </c>
      <c r="BO11" s="262" t="s">
        <v>138</v>
      </c>
      <c r="BP11" s="187" t="str">
        <f t="shared" ref="BP11:BP16" ca="1" si="28">BP$5 &amp; "!" &amp;$BO11</f>
        <v>'Credit_2012Q4'!o</v>
      </c>
      <c r="BR11" s="187" t="str">
        <f t="shared" ref="BR11:BR16" ca="1" si="29">BR$5 &amp; "!" &amp;$BO11</f>
        <v>'Credit_2013Q4'!o</v>
      </c>
      <c r="BT11" s="187" t="str">
        <f t="shared" ref="BT11:CH16" ca="1" si="30">BT$5 &amp; "!" &amp;$BO11</f>
        <v>'Credit_2014Q4'!o</v>
      </c>
      <c r="BV11" s="187" t="str">
        <f t="shared" ca="1" si="30"/>
        <v>'Credit_2015Q4'!o</v>
      </c>
      <c r="BX11" s="187" t="str">
        <f t="shared" ca="1" si="30"/>
        <v>'Credit_2016Q4'!o</v>
      </c>
      <c r="BZ11" s="187" t="str">
        <f t="shared" ca="1" si="30"/>
        <v>'Credit_2017Q4'!o</v>
      </c>
      <c r="CB11" s="187" t="str">
        <f t="shared" ca="1" si="30"/>
        <v>'Credit_2018Q4'!o</v>
      </c>
      <c r="CD11" s="187" t="str">
        <f t="shared" ca="1" si="30"/>
        <v>'Credit_2019Q4'!o</v>
      </c>
      <c r="CF11" s="187" t="str">
        <f t="shared" ca="1" si="30"/>
        <v>'Credit_2020Q4'!o</v>
      </c>
      <c r="CH11" s="187" t="str">
        <f t="shared" ca="1" si="30"/>
        <v>'Credit_2021Q4'!o</v>
      </c>
    </row>
    <row r="12" spans="3:86">
      <c r="C12" s="263"/>
      <c r="D12" s="263" t="s">
        <v>139</v>
      </c>
      <c r="E12" s="215">
        <v>7</v>
      </c>
      <c r="F12" s="275">
        <f t="shared" ca="1" si="0"/>
        <v>0.21875</v>
      </c>
      <c r="G12" s="264"/>
      <c r="H12" s="215">
        <v>5</v>
      </c>
      <c r="I12" s="275">
        <f t="shared" ca="1" si="1"/>
        <v>0.1388888888888889</v>
      </c>
      <c r="J12" s="264"/>
      <c r="K12" s="215">
        <v>4</v>
      </c>
      <c r="L12" s="275">
        <f t="shared" ca="1" si="2"/>
        <v>0.1111111111111111</v>
      </c>
      <c r="M12" s="264"/>
      <c r="N12" s="215">
        <v>3</v>
      </c>
      <c r="O12" s="275">
        <f t="shared" ca="1" si="3"/>
        <v>8.3333333333333329E-2</v>
      </c>
      <c r="P12" s="275"/>
      <c r="Q12" s="215">
        <v>1</v>
      </c>
      <c r="R12" s="275">
        <f t="shared" ca="1" si="4"/>
        <v>3.125E-2</v>
      </c>
      <c r="S12" s="275"/>
      <c r="T12" s="215">
        <v>2</v>
      </c>
      <c r="U12" s="275">
        <f t="shared" ca="1" si="5"/>
        <v>5.2631578947368418E-2</v>
      </c>
      <c r="V12" s="275"/>
      <c r="W12" s="215">
        <v>4</v>
      </c>
      <c r="X12" s="275">
        <f t="shared" ca="1" si="6"/>
        <v>0.10256410256410256</v>
      </c>
      <c r="Y12" s="275"/>
      <c r="Z12" s="215">
        <v>6</v>
      </c>
      <c r="AA12" s="275">
        <f t="shared" ca="1" si="7"/>
        <v>0.14634146341463414</v>
      </c>
      <c r="AB12" s="275"/>
      <c r="AC12" s="215">
        <f ca="1">Credit_2010Q4!$AD9</f>
        <v>5</v>
      </c>
      <c r="AD12" s="275">
        <f t="shared" ca="1" si="8"/>
        <v>0.14285714285714285</v>
      </c>
      <c r="AE12" s="275"/>
      <c r="AF12" s="215">
        <f ca="1">Credit_2011Q4!$AD9</f>
        <v>5</v>
      </c>
      <c r="AG12" s="275">
        <f t="shared" ca="1" si="9"/>
        <v>0.13513513513513514</v>
      </c>
      <c r="AH12" s="275"/>
      <c r="AI12" s="215">
        <f t="shared" ca="1" si="10"/>
        <v>6</v>
      </c>
      <c r="AJ12" s="275">
        <f t="shared" ca="1" si="11"/>
        <v>0.16666666666666666</v>
      </c>
      <c r="AK12" s="275"/>
      <c r="AL12" s="215">
        <f t="shared" ca="1" si="12"/>
        <v>7</v>
      </c>
      <c r="AM12" s="275">
        <f t="shared" ca="1" si="13"/>
        <v>0.2</v>
      </c>
      <c r="AN12" s="275"/>
      <c r="AO12" s="215">
        <f t="shared" ref="AO12:AO16" ca="1" si="31">INDIRECT( BT12 &amp; $BN12 )</f>
        <v>8</v>
      </c>
      <c r="AP12" s="275">
        <f t="shared" ca="1" si="14"/>
        <v>0.21052631578947367</v>
      </c>
      <c r="AQ12" s="275"/>
      <c r="AR12" s="215">
        <f t="shared" ca="1" si="15"/>
        <v>8</v>
      </c>
      <c r="AS12" s="275">
        <f t="shared" ca="1" si="16"/>
        <v>0.22222222222222221</v>
      </c>
      <c r="AT12" s="275"/>
      <c r="AU12" s="215">
        <f t="shared" ca="1" si="17"/>
        <v>10</v>
      </c>
      <c r="AV12" s="275">
        <f t="shared" ca="1" si="18"/>
        <v>0.27777777777777779</v>
      </c>
      <c r="AW12" s="275"/>
      <c r="AX12" s="215">
        <f t="shared" ca="1" si="19"/>
        <v>12</v>
      </c>
      <c r="AY12" s="275">
        <f t="shared" ca="1" si="20"/>
        <v>0.34285714285714286</v>
      </c>
      <c r="AZ12" s="275"/>
      <c r="BA12" s="215">
        <f t="shared" ref="BA12:BA26" ca="1" si="32">INDIRECT( CB12 &amp; $BN12 )</f>
        <v>11</v>
      </c>
      <c r="BB12" s="275">
        <f t="shared" ca="1" si="21"/>
        <v>0.3235294117647059</v>
      </c>
      <c r="BC12" s="275"/>
      <c r="BD12" s="215">
        <f t="shared" ca="1" si="22"/>
        <v>11</v>
      </c>
      <c r="BE12" s="275">
        <f t="shared" ca="1" si="23"/>
        <v>0.31428571428571428</v>
      </c>
      <c r="BF12" s="275"/>
      <c r="BG12" s="215">
        <f t="shared" ca="1" si="24"/>
        <v>11</v>
      </c>
      <c r="BH12" s="275">
        <f t="shared" ca="1" si="25"/>
        <v>0.3235294117647059</v>
      </c>
      <c r="BI12" s="275"/>
      <c r="BJ12" s="287">
        <f t="shared" ca="1" si="26"/>
        <v>8</v>
      </c>
      <c r="BK12" s="293">
        <f t="shared" ca="1" si="27"/>
        <v>0.22857142857142856</v>
      </c>
      <c r="BN12" s="187">
        <f ca="1">BN11+1</f>
        <v>9</v>
      </c>
      <c r="BO12" s="185" t="str">
        <f ca="1">BO11</f>
        <v>o</v>
      </c>
      <c r="BP12" s="187" t="str">
        <f t="shared" ca="1" si="28"/>
        <v>'Credit_2012Q4'!o</v>
      </c>
      <c r="BR12" s="187" t="str">
        <f t="shared" ca="1" si="29"/>
        <v>'Credit_2013Q4'!o</v>
      </c>
      <c r="BT12" s="187" t="str">
        <f t="shared" ca="1" si="30"/>
        <v>'Credit_2014Q4'!o</v>
      </c>
      <c r="BV12" s="187" t="str">
        <f t="shared" ca="1" si="30"/>
        <v>'Credit_2015Q4'!o</v>
      </c>
      <c r="BX12" s="187" t="str">
        <f t="shared" ca="1" si="30"/>
        <v>'Credit_2016Q4'!o</v>
      </c>
      <c r="BZ12" s="187" t="str">
        <f t="shared" ca="1" si="30"/>
        <v>'Credit_2017Q4'!o</v>
      </c>
      <c r="CB12" s="187" t="str">
        <f t="shared" ca="1" si="30"/>
        <v>'Credit_2018Q4'!o</v>
      </c>
      <c r="CD12" s="187" t="str">
        <f t="shared" ca="1" si="30"/>
        <v>'Credit_2019Q4'!o</v>
      </c>
      <c r="CF12" s="187" t="str">
        <f t="shared" ca="1" si="30"/>
        <v>'Credit_2020Q4'!o</v>
      </c>
      <c r="CH12" s="187" t="str">
        <f t="shared" ca="1" si="30"/>
        <v>'Credit_2021Q4'!o</v>
      </c>
    </row>
    <row r="13" spans="3:86">
      <c r="C13" s="263"/>
      <c r="D13" s="263" t="s">
        <v>140</v>
      </c>
      <c r="E13" s="215">
        <v>3</v>
      </c>
      <c r="F13" s="275">
        <f t="shared" ca="1" si="0"/>
        <v>9.375E-2</v>
      </c>
      <c r="G13" s="264"/>
      <c r="H13" s="215">
        <v>6</v>
      </c>
      <c r="I13" s="275">
        <f t="shared" ca="1" si="1"/>
        <v>0.16666666666666666</v>
      </c>
      <c r="J13" s="264"/>
      <c r="K13" s="215">
        <v>7</v>
      </c>
      <c r="L13" s="275">
        <f t="shared" ca="1" si="2"/>
        <v>0.19444444444444445</v>
      </c>
      <c r="M13" s="264"/>
      <c r="N13" s="215">
        <v>8</v>
      </c>
      <c r="O13" s="275">
        <f t="shared" ca="1" si="3"/>
        <v>0.22222222222222221</v>
      </c>
      <c r="P13" s="275"/>
      <c r="Q13" s="215">
        <v>7</v>
      </c>
      <c r="R13" s="275">
        <f t="shared" ca="1" si="4"/>
        <v>0.21875</v>
      </c>
      <c r="S13" s="275"/>
      <c r="T13" s="215">
        <v>10</v>
      </c>
      <c r="U13" s="275">
        <f t="shared" ca="1" si="5"/>
        <v>0.26315789473684209</v>
      </c>
      <c r="V13" s="275"/>
      <c r="W13" s="215">
        <v>9</v>
      </c>
      <c r="X13" s="275">
        <f t="shared" ca="1" si="6"/>
        <v>0.23076923076923078</v>
      </c>
      <c r="Y13" s="275"/>
      <c r="Z13" s="215">
        <v>9</v>
      </c>
      <c r="AA13" s="275">
        <f t="shared" ca="1" si="7"/>
        <v>0.21951219512195122</v>
      </c>
      <c r="AB13" s="275"/>
      <c r="AC13" s="215">
        <f ca="1">Credit_2010Q4!$AD10</f>
        <v>6</v>
      </c>
      <c r="AD13" s="275">
        <f t="shared" ca="1" si="8"/>
        <v>0.17142857142857143</v>
      </c>
      <c r="AE13" s="275"/>
      <c r="AF13" s="215">
        <f ca="1">Credit_2011Q4!$AD10</f>
        <v>7</v>
      </c>
      <c r="AG13" s="275">
        <f t="shared" ca="1" si="9"/>
        <v>0.1891891891891892</v>
      </c>
      <c r="AH13" s="275"/>
      <c r="AI13" s="215">
        <f t="shared" ca="1" si="10"/>
        <v>5</v>
      </c>
      <c r="AJ13" s="275">
        <f t="shared" ca="1" si="11"/>
        <v>0.1388888888888889</v>
      </c>
      <c r="AK13" s="275"/>
      <c r="AL13" s="215">
        <f t="shared" ca="1" si="12"/>
        <v>6</v>
      </c>
      <c r="AM13" s="275">
        <f t="shared" ca="1" si="13"/>
        <v>0.17142857142857143</v>
      </c>
      <c r="AN13" s="275"/>
      <c r="AO13" s="215">
        <f t="shared" ca="1" si="31"/>
        <v>12</v>
      </c>
      <c r="AP13" s="275">
        <f t="shared" ca="1" si="14"/>
        <v>0.31578947368421051</v>
      </c>
      <c r="AQ13" s="275"/>
      <c r="AR13" s="215">
        <f t="shared" ca="1" si="15"/>
        <v>12</v>
      </c>
      <c r="AS13" s="275">
        <f t="shared" ca="1" si="16"/>
        <v>0.33333333333333331</v>
      </c>
      <c r="AT13" s="275"/>
      <c r="AU13" s="215">
        <f t="shared" ca="1" si="17"/>
        <v>13</v>
      </c>
      <c r="AV13" s="275">
        <f t="shared" ca="1" si="18"/>
        <v>0.3611111111111111</v>
      </c>
      <c r="AW13" s="275"/>
      <c r="AX13" s="215">
        <f t="shared" ca="1" si="19"/>
        <v>10</v>
      </c>
      <c r="AY13" s="275">
        <f t="shared" ca="1" si="20"/>
        <v>0.2857142857142857</v>
      </c>
      <c r="AZ13" s="275"/>
      <c r="BA13" s="215">
        <f t="shared" ca="1" si="32"/>
        <v>11</v>
      </c>
      <c r="BB13" s="275">
        <f t="shared" ca="1" si="21"/>
        <v>0.3235294117647059</v>
      </c>
      <c r="BC13" s="275"/>
      <c r="BD13" s="215">
        <f t="shared" ca="1" si="22"/>
        <v>11</v>
      </c>
      <c r="BE13" s="275">
        <f t="shared" ca="1" si="23"/>
        <v>0.31428571428571428</v>
      </c>
      <c r="BF13" s="275"/>
      <c r="BG13" s="215">
        <f t="shared" ca="1" si="24"/>
        <v>10</v>
      </c>
      <c r="BH13" s="275">
        <f t="shared" ca="1" si="25"/>
        <v>0.29411764705882354</v>
      </c>
      <c r="BI13" s="275"/>
      <c r="BJ13" s="287">
        <f t="shared" ca="1" si="26"/>
        <v>14</v>
      </c>
      <c r="BK13" s="293">
        <f t="shared" ca="1" si="27"/>
        <v>0.4</v>
      </c>
      <c r="BN13" s="187">
        <f ca="1">BN12+1</f>
        <v>10</v>
      </c>
      <c r="BO13" s="185" t="str">
        <f t="shared" ref="BO13:BO16" ca="1" si="33">BO12</f>
        <v>o</v>
      </c>
      <c r="BP13" s="187" t="str">
        <f t="shared" ca="1" si="28"/>
        <v>'Credit_2012Q4'!o</v>
      </c>
      <c r="BR13" s="187" t="str">
        <f t="shared" ca="1" si="29"/>
        <v>'Credit_2013Q4'!o</v>
      </c>
      <c r="BT13" s="187" t="str">
        <f t="shared" ca="1" si="30"/>
        <v>'Credit_2014Q4'!o</v>
      </c>
      <c r="BV13" s="187" t="str">
        <f t="shared" ca="1" si="30"/>
        <v>'Credit_2015Q4'!o</v>
      </c>
      <c r="BX13" s="187" t="str">
        <f t="shared" ca="1" si="30"/>
        <v>'Credit_2016Q4'!o</v>
      </c>
      <c r="BZ13" s="187" t="str">
        <f t="shared" ca="1" si="30"/>
        <v>'Credit_2017Q4'!o</v>
      </c>
      <c r="CB13" s="187" t="str">
        <f t="shared" ca="1" si="30"/>
        <v>'Credit_2018Q4'!o</v>
      </c>
      <c r="CD13" s="187" t="str">
        <f t="shared" ca="1" si="30"/>
        <v>'Credit_2019Q4'!o</v>
      </c>
      <c r="CF13" s="187" t="str">
        <f t="shared" ca="1" si="30"/>
        <v>'Credit_2020Q4'!o</v>
      </c>
      <c r="CH13" s="187" t="str">
        <f t="shared" ca="1" si="30"/>
        <v>'Credit_2021Q4'!o</v>
      </c>
    </row>
    <row r="14" spans="3:86">
      <c r="C14" s="263"/>
      <c r="D14" s="263" t="s">
        <v>141</v>
      </c>
      <c r="E14" s="215">
        <v>6</v>
      </c>
      <c r="F14" s="275">
        <f t="shared" ca="1" si="0"/>
        <v>0.1875</v>
      </c>
      <c r="G14" s="264"/>
      <c r="H14" s="215">
        <v>6</v>
      </c>
      <c r="I14" s="275">
        <f t="shared" ca="1" si="1"/>
        <v>0.16666666666666666</v>
      </c>
      <c r="J14" s="264"/>
      <c r="K14" s="215">
        <v>8</v>
      </c>
      <c r="L14" s="275">
        <f t="shared" ca="1" si="2"/>
        <v>0.22222222222222221</v>
      </c>
      <c r="M14" s="264"/>
      <c r="N14" s="215">
        <v>9</v>
      </c>
      <c r="O14" s="275">
        <f t="shared" ca="1" si="3"/>
        <v>0.25</v>
      </c>
      <c r="P14" s="275"/>
      <c r="Q14" s="215">
        <v>9</v>
      </c>
      <c r="R14" s="275">
        <f t="shared" ca="1" si="4"/>
        <v>0.28125</v>
      </c>
      <c r="S14" s="275"/>
      <c r="T14" s="215">
        <v>8</v>
      </c>
      <c r="U14" s="275">
        <f t="shared" ca="1" si="5"/>
        <v>0.21052631578947367</v>
      </c>
      <c r="V14" s="275"/>
      <c r="W14" s="215">
        <v>9</v>
      </c>
      <c r="X14" s="275">
        <f t="shared" ca="1" si="6"/>
        <v>0.23076923076923078</v>
      </c>
      <c r="Y14" s="275"/>
      <c r="Z14" s="215">
        <v>11</v>
      </c>
      <c r="AA14" s="275">
        <f t="shared" ca="1" si="7"/>
        <v>0.26829268292682928</v>
      </c>
      <c r="AB14" s="275"/>
      <c r="AC14" s="215">
        <f ca="1">Credit_2010Q4!$AD11</f>
        <v>11</v>
      </c>
      <c r="AD14" s="275">
        <f t="shared" ca="1" si="8"/>
        <v>0.31428571428571428</v>
      </c>
      <c r="AE14" s="275"/>
      <c r="AF14" s="215">
        <f ca="1">Credit_2011Q4!$AD11</f>
        <v>13</v>
      </c>
      <c r="AG14" s="275">
        <f t="shared" ca="1" si="9"/>
        <v>0.35135135135135137</v>
      </c>
      <c r="AH14" s="275"/>
      <c r="AI14" s="215">
        <f t="shared" ca="1" si="10"/>
        <v>13</v>
      </c>
      <c r="AJ14" s="275">
        <f t="shared" ca="1" si="11"/>
        <v>0.3611111111111111</v>
      </c>
      <c r="AK14" s="275"/>
      <c r="AL14" s="215">
        <f t="shared" ca="1" si="12"/>
        <v>17</v>
      </c>
      <c r="AM14" s="275">
        <f t="shared" ca="1" si="13"/>
        <v>0.48571428571428571</v>
      </c>
      <c r="AN14" s="275"/>
      <c r="AO14" s="215">
        <f t="shared" ca="1" si="31"/>
        <v>14</v>
      </c>
      <c r="AP14" s="275">
        <f t="shared" ca="1" si="14"/>
        <v>0.36842105263157893</v>
      </c>
      <c r="AQ14" s="275"/>
      <c r="AR14" s="215">
        <f t="shared" ca="1" si="15"/>
        <v>12</v>
      </c>
      <c r="AS14" s="275">
        <f t="shared" ca="1" si="16"/>
        <v>0.33333333333333331</v>
      </c>
      <c r="AT14" s="275"/>
      <c r="AU14" s="215">
        <f t="shared" ca="1" si="17"/>
        <v>8</v>
      </c>
      <c r="AV14" s="275">
        <f t="shared" ca="1" si="18"/>
        <v>0.22222222222222221</v>
      </c>
      <c r="AW14" s="275"/>
      <c r="AX14" s="215">
        <f t="shared" ca="1" si="19"/>
        <v>7</v>
      </c>
      <c r="AY14" s="275">
        <f t="shared" ca="1" si="20"/>
        <v>0.2</v>
      </c>
      <c r="AZ14" s="275"/>
      <c r="BA14" s="215">
        <f t="shared" ca="1" si="32"/>
        <v>7</v>
      </c>
      <c r="BB14" s="275">
        <f t="shared" ca="1" si="21"/>
        <v>0.20588235294117646</v>
      </c>
      <c r="BC14" s="275"/>
      <c r="BD14" s="215">
        <f t="shared" ca="1" si="22"/>
        <v>8</v>
      </c>
      <c r="BE14" s="275">
        <f t="shared" ca="1" si="23"/>
        <v>0.22857142857142856</v>
      </c>
      <c r="BF14" s="275"/>
      <c r="BG14" s="215">
        <f t="shared" ca="1" si="24"/>
        <v>7</v>
      </c>
      <c r="BH14" s="275">
        <f t="shared" ca="1" si="25"/>
        <v>0.20588235294117646</v>
      </c>
      <c r="BI14" s="275"/>
      <c r="BJ14" s="287">
        <f t="shared" ca="1" si="26"/>
        <v>7</v>
      </c>
      <c r="BK14" s="293">
        <f t="shared" ca="1" si="27"/>
        <v>0.2</v>
      </c>
      <c r="BN14" s="187">
        <f ca="1">BN13+1</f>
        <v>11</v>
      </c>
      <c r="BO14" s="185" t="str">
        <f t="shared" ca="1" si="33"/>
        <v>o</v>
      </c>
      <c r="BP14" s="187" t="str">
        <f t="shared" ca="1" si="28"/>
        <v>'Credit_2012Q4'!o</v>
      </c>
      <c r="BR14" s="187" t="str">
        <f t="shared" ca="1" si="29"/>
        <v>'Credit_2013Q4'!o</v>
      </c>
      <c r="BT14" s="187" t="str">
        <f t="shared" ca="1" si="30"/>
        <v>'Credit_2014Q4'!o</v>
      </c>
      <c r="BV14" s="187" t="str">
        <f t="shared" ca="1" si="30"/>
        <v>'Credit_2015Q4'!o</v>
      </c>
      <c r="BX14" s="187" t="str">
        <f t="shared" ca="1" si="30"/>
        <v>'Credit_2016Q4'!o</v>
      </c>
      <c r="BZ14" s="187" t="str">
        <f t="shared" ca="1" si="30"/>
        <v>'Credit_2017Q4'!o</v>
      </c>
      <c r="CB14" s="187" t="str">
        <f t="shared" ca="1" si="30"/>
        <v>'Credit_2018Q4'!o</v>
      </c>
      <c r="CD14" s="187" t="str">
        <f t="shared" ca="1" si="30"/>
        <v>'Credit_2019Q4'!o</v>
      </c>
      <c r="CF14" s="187" t="str">
        <f t="shared" ca="1" si="30"/>
        <v>'Credit_2020Q4'!o</v>
      </c>
      <c r="CH14" s="187" t="str">
        <f t="shared" ca="1" si="30"/>
        <v>'Credit_2021Q4'!o</v>
      </c>
    </row>
    <row r="15" spans="3:86">
      <c r="C15" s="263"/>
      <c r="D15" s="263" t="s">
        <v>142</v>
      </c>
      <c r="E15" s="215">
        <v>4</v>
      </c>
      <c r="F15" s="275">
        <f t="shared" ca="1" si="0"/>
        <v>0.125</v>
      </c>
      <c r="G15" s="264"/>
      <c r="H15" s="215">
        <v>5</v>
      </c>
      <c r="I15" s="275">
        <f t="shared" ca="1" si="1"/>
        <v>0.1388888888888889</v>
      </c>
      <c r="J15" s="264"/>
      <c r="K15" s="215">
        <v>5</v>
      </c>
      <c r="L15" s="275">
        <f t="shared" ca="1" si="2"/>
        <v>0.1388888888888889</v>
      </c>
      <c r="M15" s="264"/>
      <c r="N15" s="215">
        <v>3</v>
      </c>
      <c r="O15" s="275">
        <f t="shared" ca="1" si="3"/>
        <v>8.3333333333333329E-2</v>
      </c>
      <c r="P15" s="275"/>
      <c r="Q15" s="215">
        <v>3</v>
      </c>
      <c r="R15" s="275">
        <f t="shared" ca="1" si="4"/>
        <v>9.375E-2</v>
      </c>
      <c r="S15" s="275"/>
      <c r="T15" s="215">
        <v>7</v>
      </c>
      <c r="U15" s="275">
        <f t="shared" ca="1" si="5"/>
        <v>0.18421052631578946</v>
      </c>
      <c r="V15" s="275"/>
      <c r="W15" s="215">
        <v>9</v>
      </c>
      <c r="X15" s="275">
        <f t="shared" ca="1" si="6"/>
        <v>0.23076923076923078</v>
      </c>
      <c r="Y15" s="275"/>
      <c r="Z15" s="215">
        <v>8</v>
      </c>
      <c r="AA15" s="275">
        <f t="shared" ca="1" si="7"/>
        <v>0.1951219512195122</v>
      </c>
      <c r="AB15" s="275"/>
      <c r="AC15" s="215">
        <f ca="1">Credit_2010Q4!$AD12</f>
        <v>6</v>
      </c>
      <c r="AD15" s="275">
        <f t="shared" ca="1" si="8"/>
        <v>0.17142857142857143</v>
      </c>
      <c r="AE15" s="275"/>
      <c r="AF15" s="215">
        <f ca="1">Credit_2011Q4!$AD12</f>
        <v>5</v>
      </c>
      <c r="AG15" s="275">
        <f t="shared" ca="1" si="9"/>
        <v>0.13513513513513514</v>
      </c>
      <c r="AH15" s="275"/>
      <c r="AI15" s="215">
        <f t="shared" ca="1" si="10"/>
        <v>6</v>
      </c>
      <c r="AJ15" s="275">
        <f t="shared" ca="1" si="11"/>
        <v>0.16666666666666666</v>
      </c>
      <c r="AK15" s="275"/>
      <c r="AL15" s="215">
        <f t="shared" ca="1" si="12"/>
        <v>2</v>
      </c>
      <c r="AM15" s="275">
        <f t="shared" ca="1" si="13"/>
        <v>5.7142857142857141E-2</v>
      </c>
      <c r="AN15" s="275"/>
      <c r="AO15" s="215">
        <f t="shared" ca="1" si="31"/>
        <v>1</v>
      </c>
      <c r="AP15" s="275">
        <f t="shared" ca="1" si="14"/>
        <v>2.6315789473684209E-2</v>
      </c>
      <c r="AQ15" s="275"/>
      <c r="AR15" s="215">
        <f t="shared" ca="1" si="15"/>
        <v>1</v>
      </c>
      <c r="AS15" s="275">
        <f t="shared" ca="1" si="16"/>
        <v>2.7777777777777776E-2</v>
      </c>
      <c r="AT15" s="275"/>
      <c r="AU15" s="215">
        <f t="shared" ca="1" si="17"/>
        <v>3</v>
      </c>
      <c r="AV15" s="275">
        <f t="shared" ca="1" si="18"/>
        <v>8.3333333333333329E-2</v>
      </c>
      <c r="AW15" s="275"/>
      <c r="AX15" s="215">
        <f t="shared" ca="1" si="19"/>
        <v>4</v>
      </c>
      <c r="AY15" s="275">
        <f t="shared" ca="1" si="20"/>
        <v>0.11428571428571428</v>
      </c>
      <c r="AZ15" s="275"/>
      <c r="BA15" s="215">
        <f t="shared" ca="1" si="32"/>
        <v>4</v>
      </c>
      <c r="BB15" s="275">
        <f t="shared" ca="1" si="21"/>
        <v>0.11764705882352941</v>
      </c>
      <c r="BC15" s="275"/>
      <c r="BD15" s="215">
        <f t="shared" ca="1" si="22"/>
        <v>2</v>
      </c>
      <c r="BE15" s="275">
        <f t="shared" ca="1" si="23"/>
        <v>5.7142857142857141E-2</v>
      </c>
      <c r="BF15" s="275"/>
      <c r="BG15" s="215">
        <f t="shared" ca="1" si="24"/>
        <v>2</v>
      </c>
      <c r="BH15" s="275">
        <f t="shared" ca="1" si="25"/>
        <v>5.8823529411764705E-2</v>
      </c>
      <c r="BI15" s="275"/>
      <c r="BJ15" s="287">
        <f t="shared" ca="1" si="26"/>
        <v>3</v>
      </c>
      <c r="BK15" s="293">
        <f t="shared" ca="1" si="27"/>
        <v>8.5714285714285715E-2</v>
      </c>
      <c r="BN15" s="187">
        <f ca="1">BN14+1</f>
        <v>12</v>
      </c>
      <c r="BO15" s="185" t="str">
        <f t="shared" ca="1" si="33"/>
        <v>o</v>
      </c>
      <c r="BP15" s="187" t="str">
        <f t="shared" ca="1" si="28"/>
        <v>'Credit_2012Q4'!o</v>
      </c>
      <c r="BR15" s="187" t="str">
        <f t="shared" ca="1" si="29"/>
        <v>'Credit_2013Q4'!o</v>
      </c>
      <c r="BT15" s="187" t="str">
        <f t="shared" ca="1" si="30"/>
        <v>'Credit_2014Q4'!o</v>
      </c>
      <c r="BV15" s="187" t="str">
        <f t="shared" ca="1" si="30"/>
        <v>'Credit_2015Q4'!o</v>
      </c>
      <c r="BX15" s="187" t="str">
        <f t="shared" ca="1" si="30"/>
        <v>'Credit_2016Q4'!o</v>
      </c>
      <c r="BZ15" s="187" t="str">
        <f t="shared" ca="1" si="30"/>
        <v>'Credit_2017Q4'!o</v>
      </c>
      <c r="CB15" s="187" t="str">
        <f t="shared" ca="1" si="30"/>
        <v>'Credit_2018Q4'!o</v>
      </c>
      <c r="CD15" s="187" t="str">
        <f t="shared" ca="1" si="30"/>
        <v>'Credit_2019Q4'!o</v>
      </c>
      <c r="CF15" s="187" t="str">
        <f t="shared" ca="1" si="30"/>
        <v>'Credit_2020Q4'!o</v>
      </c>
      <c r="CH15" s="187" t="str">
        <f t="shared" ca="1" si="30"/>
        <v>'Credit_2021Q4'!o</v>
      </c>
    </row>
    <row r="16" spans="3:86">
      <c r="C16" s="265"/>
      <c r="D16" s="265" t="s">
        <v>143</v>
      </c>
      <c r="E16" s="217">
        <v>6</v>
      </c>
      <c r="F16" s="276">
        <f t="shared" ca="1" si="0"/>
        <v>0.1875</v>
      </c>
      <c r="G16" s="266"/>
      <c r="H16" s="217">
        <v>8</v>
      </c>
      <c r="I16" s="276">
        <f t="shared" ca="1" si="1"/>
        <v>0.22222222222222221</v>
      </c>
      <c r="J16" s="267"/>
      <c r="K16" s="217">
        <v>5</v>
      </c>
      <c r="L16" s="276">
        <f t="shared" ca="1" si="2"/>
        <v>0.1388888888888889</v>
      </c>
      <c r="M16" s="266"/>
      <c r="N16" s="217">
        <v>6</v>
      </c>
      <c r="O16" s="276">
        <f t="shared" ca="1" si="3"/>
        <v>0.16666666666666666</v>
      </c>
      <c r="P16" s="276"/>
      <c r="Q16" s="217">
        <v>6</v>
      </c>
      <c r="R16" s="276">
        <f t="shared" ca="1" si="4"/>
        <v>0.1875</v>
      </c>
      <c r="S16" s="276"/>
      <c r="T16" s="217">
        <v>6</v>
      </c>
      <c r="U16" s="276">
        <f t="shared" ca="1" si="5"/>
        <v>0.15789473684210525</v>
      </c>
      <c r="V16" s="276"/>
      <c r="W16" s="217">
        <v>5</v>
      </c>
      <c r="X16" s="276">
        <f t="shared" ca="1" si="6"/>
        <v>0.12820512820512819</v>
      </c>
      <c r="Y16" s="276"/>
      <c r="Z16" s="217">
        <v>4</v>
      </c>
      <c r="AA16" s="276">
        <f t="shared" ca="1" si="7"/>
        <v>9.7560975609756101E-2</v>
      </c>
      <c r="AB16" s="276"/>
      <c r="AC16" s="217">
        <f ca="1">Credit_2010Q4!$AD13</f>
        <v>4</v>
      </c>
      <c r="AD16" s="276">
        <f t="shared" ca="1" si="8"/>
        <v>0.11428571428571428</v>
      </c>
      <c r="AE16" s="276"/>
      <c r="AF16" s="217">
        <f ca="1">Credit_2011Q4!$AD13</f>
        <v>4</v>
      </c>
      <c r="AG16" s="276">
        <f t="shared" ca="1" si="9"/>
        <v>0.10810810810810811</v>
      </c>
      <c r="AH16" s="276"/>
      <c r="AI16" s="217">
        <f t="shared" ca="1" si="10"/>
        <v>4</v>
      </c>
      <c r="AJ16" s="276">
        <f t="shared" ca="1" si="11"/>
        <v>0.1111111111111111</v>
      </c>
      <c r="AK16" s="276"/>
      <c r="AL16" s="217">
        <f t="shared" ca="1" si="12"/>
        <v>2</v>
      </c>
      <c r="AM16" s="276">
        <f t="shared" ca="1" si="13"/>
        <v>5.7142857142857141E-2</v>
      </c>
      <c r="AN16" s="276"/>
      <c r="AO16" s="217">
        <f t="shared" ca="1" si="31"/>
        <v>2</v>
      </c>
      <c r="AP16" s="276">
        <f t="shared" ca="1" si="14"/>
        <v>5.2631578947368418E-2</v>
      </c>
      <c r="AQ16" s="276"/>
      <c r="AR16" s="217">
        <f t="shared" ca="1" si="15"/>
        <v>2</v>
      </c>
      <c r="AS16" s="276">
        <f t="shared" ca="1" si="16"/>
        <v>5.5555555555555552E-2</v>
      </c>
      <c r="AT16" s="276"/>
      <c r="AU16" s="217">
        <f t="shared" ca="1" si="17"/>
        <v>0</v>
      </c>
      <c r="AV16" s="276">
        <f t="shared" ca="1" si="18"/>
        <v>0</v>
      </c>
      <c r="AW16" s="276"/>
      <c r="AX16" s="217">
        <f t="shared" ca="1" si="19"/>
        <v>0</v>
      </c>
      <c r="AY16" s="276">
        <f t="shared" ca="1" si="20"/>
        <v>0</v>
      </c>
      <c r="AZ16" s="276"/>
      <c r="BA16" s="217">
        <f t="shared" ca="1" si="32"/>
        <v>0</v>
      </c>
      <c r="BB16" s="276">
        <f t="shared" ca="1" si="21"/>
        <v>0</v>
      </c>
      <c r="BC16" s="276"/>
      <c r="BD16" s="217">
        <f t="shared" ca="1" si="22"/>
        <v>2</v>
      </c>
      <c r="BE16" s="276">
        <f t="shared" ca="1" si="23"/>
        <v>5.7142857142857141E-2</v>
      </c>
      <c r="BF16" s="276"/>
      <c r="BG16" s="217">
        <f t="shared" ca="1" si="24"/>
        <v>3</v>
      </c>
      <c r="BH16" s="276">
        <f t="shared" ca="1" si="25"/>
        <v>8.8235294117647065E-2</v>
      </c>
      <c r="BI16" s="276"/>
      <c r="BJ16" s="288">
        <f t="shared" ca="1" si="26"/>
        <v>2</v>
      </c>
      <c r="BK16" s="294">
        <f t="shared" ca="1" si="27"/>
        <v>5.7142857142857141E-2</v>
      </c>
      <c r="BN16" s="187">
        <f ca="1">BN15+1</f>
        <v>13</v>
      </c>
      <c r="BO16" s="185" t="str">
        <f t="shared" ca="1" si="33"/>
        <v>o</v>
      </c>
      <c r="BP16" s="187" t="str">
        <f t="shared" ca="1" si="28"/>
        <v>'Credit_2012Q4'!o</v>
      </c>
      <c r="BR16" s="187" t="str">
        <f t="shared" ca="1" si="29"/>
        <v>'Credit_2013Q4'!o</v>
      </c>
      <c r="BT16" s="187" t="str">
        <f t="shared" ca="1" si="30"/>
        <v>'Credit_2014Q4'!o</v>
      </c>
      <c r="BV16" s="187" t="str">
        <f t="shared" ca="1" si="30"/>
        <v>'Credit_2015Q4'!o</v>
      </c>
      <c r="BX16" s="187" t="str">
        <f t="shared" ca="1" si="30"/>
        <v>'Credit_2016Q4'!o</v>
      </c>
      <c r="BZ16" s="187" t="str">
        <f t="shared" ca="1" si="30"/>
        <v>'Credit_2017Q4'!o</v>
      </c>
      <c r="CB16" s="187" t="str">
        <f t="shared" ca="1" si="30"/>
        <v>'Credit_2018Q4'!o</v>
      </c>
      <c r="CD16" s="187" t="str">
        <f t="shared" ca="1" si="30"/>
        <v>'Credit_2019Q4'!o</v>
      </c>
      <c r="CF16" s="187" t="str">
        <f t="shared" ca="1" si="30"/>
        <v>'Credit_2020Q4'!o</v>
      </c>
      <c r="CH16" s="187" t="str">
        <f t="shared" ca="1" si="30"/>
        <v>'Credit_2021Q4'!o</v>
      </c>
    </row>
    <row r="17" spans="3:86">
      <c r="C17" s="268"/>
      <c r="D17" s="268" t="s">
        <v>144</v>
      </c>
      <c r="E17" s="211">
        <f t="shared" ref="E17:AA17" ca="1" si="34">SUM(E11:E16)</f>
        <v>32</v>
      </c>
      <c r="F17" s="277">
        <f t="shared" ca="1" si="34"/>
        <v>1</v>
      </c>
      <c r="G17" s="269"/>
      <c r="H17" s="211">
        <f t="shared" ca="1" si="34"/>
        <v>36</v>
      </c>
      <c r="I17" s="277">
        <f t="shared" ca="1" si="34"/>
        <v>0.99999999999999989</v>
      </c>
      <c r="J17" s="269"/>
      <c r="K17" s="211">
        <f t="shared" ca="1" si="34"/>
        <v>36</v>
      </c>
      <c r="L17" s="277">
        <f t="shared" ca="1" si="34"/>
        <v>1</v>
      </c>
      <c r="M17" s="269"/>
      <c r="N17" s="211">
        <f ca="1">SUM(N11:N16)</f>
        <v>36</v>
      </c>
      <c r="O17" s="277">
        <f ca="1">SUM(O11:O16)</f>
        <v>1</v>
      </c>
      <c r="P17" s="277"/>
      <c r="Q17" s="211">
        <f ca="1">SUM(Q11:Q16)</f>
        <v>32</v>
      </c>
      <c r="R17" s="277">
        <f t="shared" ca="1" si="34"/>
        <v>1</v>
      </c>
      <c r="S17" s="277"/>
      <c r="T17" s="211">
        <f ca="1">SUM(T11:T16)</f>
        <v>38</v>
      </c>
      <c r="U17" s="277">
        <f t="shared" ca="1" si="34"/>
        <v>1</v>
      </c>
      <c r="V17" s="277"/>
      <c r="W17" s="211">
        <f ca="1">SUM(W11:W16)</f>
        <v>39</v>
      </c>
      <c r="X17" s="277">
        <f t="shared" ca="1" si="34"/>
        <v>1</v>
      </c>
      <c r="Y17" s="277"/>
      <c r="Z17" s="211">
        <f ca="1">SUM(Z11:Z16)</f>
        <v>41</v>
      </c>
      <c r="AA17" s="277">
        <f t="shared" ca="1" si="34"/>
        <v>0.99999999999999989</v>
      </c>
      <c r="AB17" s="277"/>
      <c r="AC17" s="211">
        <f t="shared" ref="AC17:AF17" ca="1" si="35">SUM(AC11:AC16)</f>
        <v>35</v>
      </c>
      <c r="AD17" s="277">
        <f t="shared" ca="1" si="35"/>
        <v>1</v>
      </c>
      <c r="AE17" s="277"/>
      <c r="AF17" s="211">
        <f t="shared" ca="1" si="35"/>
        <v>37</v>
      </c>
      <c r="AG17" s="277">
        <f t="shared" ref="AG17" ca="1" si="36">SUM(AG11:AG16)</f>
        <v>1</v>
      </c>
      <c r="AH17" s="277"/>
      <c r="AI17" s="211">
        <f ca="1">SUM(AI11:AI16)</f>
        <v>36</v>
      </c>
      <c r="AJ17" s="277">
        <f t="shared" ref="AJ17" ca="1" si="37">SUM(AJ11:AJ16)</f>
        <v>1</v>
      </c>
      <c r="AK17" s="277"/>
      <c r="AL17" s="211">
        <f ca="1">SUM(AL11:AL16)</f>
        <v>35</v>
      </c>
      <c r="AM17" s="277">
        <f ca="1">SUM(AM11:AM16)</f>
        <v>1</v>
      </c>
      <c r="AN17" s="277"/>
      <c r="AO17" s="211">
        <f ca="1">SUM(AO11:AO16)</f>
        <v>38</v>
      </c>
      <c r="AP17" s="277">
        <f ca="1">SUM(AP11:AP16)</f>
        <v>1</v>
      </c>
      <c r="AQ17" s="277"/>
      <c r="AR17" s="211">
        <f ca="1">SUM(AR11:AR16)</f>
        <v>36</v>
      </c>
      <c r="AS17" s="277">
        <f ca="1">SUM(AS11:AS16)</f>
        <v>0.99999999999999989</v>
      </c>
      <c r="AT17" s="277"/>
      <c r="AU17" s="211">
        <f ca="1">SUM(AU11:AU16)</f>
        <v>36</v>
      </c>
      <c r="AV17" s="277">
        <f ca="1">SUM(AV11:AV16)</f>
        <v>1</v>
      </c>
      <c r="AW17" s="277"/>
      <c r="AX17" s="211">
        <f ca="1">SUM(AX11:AX16)</f>
        <v>35</v>
      </c>
      <c r="AY17" s="277">
        <f ca="1">SUM(AY11:AY16)</f>
        <v>1</v>
      </c>
      <c r="AZ17" s="277"/>
      <c r="BA17" s="211">
        <f ca="1">SUM(BA11:BA16)</f>
        <v>34</v>
      </c>
      <c r="BB17" s="277">
        <f ca="1">SUM(BB11:BB16)</f>
        <v>1</v>
      </c>
      <c r="BC17" s="277"/>
      <c r="BD17" s="211">
        <f ca="1">SUM(BD11:BD16)</f>
        <v>35</v>
      </c>
      <c r="BE17" s="277">
        <f ca="1">SUM(BE11:BE16)</f>
        <v>1</v>
      </c>
      <c r="BF17" s="277"/>
      <c r="BG17" s="211">
        <f ca="1">SUM(BG11:BG16)</f>
        <v>34</v>
      </c>
      <c r="BH17" s="277">
        <f ca="1">SUM(BH11:BH16)</f>
        <v>1</v>
      </c>
      <c r="BI17" s="277"/>
      <c r="BJ17" s="289">
        <f ca="1">SUM(BJ11:BJ16)</f>
        <v>35</v>
      </c>
      <c r="BK17" s="295">
        <f ca="1">SUM(BK11:BK16)</f>
        <v>1</v>
      </c>
    </row>
    <row r="18" spans="3:86">
      <c r="C18" s="195"/>
      <c r="D18" s="195"/>
      <c r="E18" s="185"/>
      <c r="F18" s="278"/>
      <c r="G18" s="270"/>
      <c r="H18" s="185"/>
      <c r="I18" s="278"/>
      <c r="J18" s="270"/>
      <c r="K18" s="185"/>
      <c r="L18" s="278"/>
      <c r="M18" s="270"/>
      <c r="N18" s="185"/>
      <c r="O18" s="278"/>
      <c r="P18" s="278"/>
      <c r="Q18" s="185"/>
      <c r="R18" s="278"/>
      <c r="S18" s="278"/>
      <c r="T18" s="185"/>
      <c r="U18" s="278"/>
      <c r="V18" s="278"/>
      <c r="W18" s="185"/>
      <c r="X18" s="278"/>
      <c r="Y18" s="278"/>
      <c r="Z18" s="185"/>
      <c r="AA18" s="278"/>
      <c r="AB18" s="278"/>
      <c r="AC18" s="185"/>
      <c r="AD18" s="278"/>
      <c r="AE18" s="278"/>
      <c r="AF18" s="185"/>
      <c r="AG18" s="278"/>
      <c r="AH18" s="278"/>
      <c r="AI18" s="185"/>
      <c r="AJ18" s="278"/>
      <c r="AK18" s="278"/>
      <c r="AL18" s="185"/>
      <c r="AM18" s="278"/>
      <c r="AN18" s="278"/>
      <c r="AO18" s="185"/>
      <c r="AP18" s="278"/>
      <c r="AQ18" s="278"/>
      <c r="AR18" s="185"/>
      <c r="AS18" s="278"/>
      <c r="AT18" s="278"/>
      <c r="AU18" s="185"/>
      <c r="AV18" s="278"/>
      <c r="AW18" s="278"/>
      <c r="AX18" s="185"/>
      <c r="AY18" s="278"/>
      <c r="AZ18" s="278"/>
      <c r="BA18" s="185"/>
      <c r="BB18" s="278"/>
      <c r="BC18" s="278"/>
      <c r="BD18" s="185"/>
      <c r="BE18" s="278"/>
      <c r="BF18" s="278"/>
      <c r="BG18" s="185"/>
      <c r="BH18" s="278"/>
      <c r="BI18" s="278"/>
      <c r="BJ18" s="280"/>
      <c r="BK18" s="296"/>
    </row>
    <row r="19" spans="3:86">
      <c r="C19" s="195"/>
      <c r="D19" s="195"/>
      <c r="E19" s="185"/>
      <c r="F19" s="278"/>
      <c r="G19" s="270"/>
      <c r="H19" s="185"/>
      <c r="I19" s="278"/>
      <c r="J19" s="270"/>
      <c r="K19" s="185"/>
      <c r="L19" s="278"/>
      <c r="M19" s="270"/>
      <c r="N19" s="185"/>
      <c r="O19" s="278"/>
      <c r="P19" s="278"/>
      <c r="Q19" s="185"/>
      <c r="R19" s="278"/>
      <c r="S19" s="278"/>
      <c r="T19" s="185"/>
      <c r="U19" s="278"/>
      <c r="V19" s="278"/>
      <c r="W19" s="185"/>
      <c r="X19" s="278"/>
      <c r="Y19" s="278"/>
      <c r="Z19" s="185"/>
      <c r="AA19" s="278"/>
      <c r="AB19" s="278"/>
      <c r="AC19" s="185"/>
      <c r="AD19" s="278"/>
      <c r="AE19" s="278"/>
      <c r="AF19" s="185"/>
      <c r="AG19" s="278"/>
      <c r="AH19" s="278"/>
      <c r="AI19" s="185"/>
      <c r="AJ19" s="278"/>
      <c r="AK19" s="278"/>
      <c r="AL19" s="185"/>
      <c r="AM19" s="278"/>
      <c r="AN19" s="278"/>
      <c r="AO19" s="185"/>
      <c r="AP19" s="278"/>
      <c r="AQ19" s="278"/>
      <c r="AR19" s="185"/>
      <c r="AS19" s="278"/>
      <c r="AT19" s="278"/>
      <c r="AU19" s="185"/>
      <c r="AV19" s="278"/>
      <c r="AW19" s="278"/>
      <c r="AX19" s="185"/>
      <c r="AY19" s="278"/>
      <c r="AZ19" s="278"/>
      <c r="BA19" s="185"/>
      <c r="BB19" s="278"/>
      <c r="BC19" s="278"/>
      <c r="BD19" s="185"/>
      <c r="BE19" s="278"/>
      <c r="BF19" s="278"/>
      <c r="BG19" s="185"/>
      <c r="BH19" s="278"/>
      <c r="BI19" s="278"/>
      <c r="BJ19" s="280"/>
      <c r="BK19" s="296"/>
    </row>
    <row r="20" spans="3:86">
      <c r="C20" s="257"/>
      <c r="D20" s="257" t="s">
        <v>145</v>
      </c>
      <c r="E20" s="283"/>
      <c r="F20" s="279"/>
      <c r="G20" s="271"/>
      <c r="H20" s="283"/>
      <c r="I20" s="279"/>
      <c r="J20" s="271"/>
      <c r="K20" s="283"/>
      <c r="L20" s="279"/>
      <c r="M20" s="271"/>
      <c r="N20" s="283"/>
      <c r="O20" s="279"/>
      <c r="P20" s="279"/>
      <c r="Q20" s="283"/>
      <c r="R20" s="279"/>
      <c r="S20" s="279"/>
      <c r="T20" s="283"/>
      <c r="U20" s="279"/>
      <c r="V20" s="279"/>
      <c r="W20" s="284"/>
      <c r="X20" s="290"/>
      <c r="Y20" s="279"/>
      <c r="Z20" s="284"/>
      <c r="AA20" s="290"/>
      <c r="AB20" s="279"/>
      <c r="AC20" s="284"/>
      <c r="AD20" s="290"/>
      <c r="AE20" s="279"/>
      <c r="AF20" s="284"/>
      <c r="AG20" s="290"/>
      <c r="AH20" s="279"/>
      <c r="AI20" s="284"/>
      <c r="AJ20" s="290"/>
      <c r="AK20" s="279"/>
      <c r="AL20" s="284"/>
      <c r="AM20" s="290"/>
      <c r="AN20" s="279"/>
      <c r="AO20" s="284"/>
      <c r="AP20" s="290"/>
      <c r="AQ20" s="279"/>
      <c r="AR20" s="284"/>
      <c r="AS20" s="290"/>
      <c r="AT20" s="279"/>
      <c r="AU20" s="284"/>
      <c r="AV20" s="290"/>
      <c r="AW20" s="279"/>
      <c r="AX20" s="284"/>
      <c r="AY20" s="290"/>
      <c r="AZ20" s="279"/>
      <c r="BA20" s="284"/>
      <c r="BB20" s="290"/>
      <c r="BC20" s="279"/>
      <c r="BD20" s="284"/>
      <c r="BE20" s="290"/>
      <c r="BF20" s="290"/>
      <c r="BG20" s="284"/>
      <c r="BH20" s="290"/>
      <c r="BI20" s="290"/>
      <c r="BJ20" s="285"/>
      <c r="BK20" s="297"/>
    </row>
    <row r="21" spans="3:86">
      <c r="C21" s="259"/>
      <c r="D21" s="259" t="s">
        <v>137</v>
      </c>
      <c r="E21" s="213">
        <v>5</v>
      </c>
      <c r="F21" s="274">
        <v>0.20833333333333334</v>
      </c>
      <c r="G21" s="260"/>
      <c r="H21" s="213">
        <v>3</v>
      </c>
      <c r="I21" s="274">
        <v>0.15</v>
      </c>
      <c r="J21" s="260"/>
      <c r="K21" s="213">
        <v>2</v>
      </c>
      <c r="L21" s="274">
        <v>8.6956521739130432E-2</v>
      </c>
      <c r="M21" s="260"/>
      <c r="N21" s="213">
        <v>2</v>
      </c>
      <c r="O21" s="274">
        <f t="shared" ref="O21:O26" ca="1" si="38">N21/$N$27</f>
        <v>9.0909090909090912E-2</v>
      </c>
      <c r="P21" s="274"/>
      <c r="Q21" s="213">
        <v>1</v>
      </c>
      <c r="R21" s="274">
        <f t="shared" ref="R21:R26" ca="1" si="39">Q21/$Q$27</f>
        <v>4.3478260869565216E-2</v>
      </c>
      <c r="S21" s="274"/>
      <c r="T21" s="213">
        <v>1</v>
      </c>
      <c r="U21" s="274">
        <f t="shared" ref="U21:U26" ca="1" si="40">T21/$T$27</f>
        <v>5.2631578947368418E-2</v>
      </c>
      <c r="V21" s="274"/>
      <c r="W21" s="213">
        <v>1</v>
      </c>
      <c r="X21" s="274">
        <f t="shared" ref="X21:X26" ca="1" si="41">W21/$W$27</f>
        <v>5.2631578947368418E-2</v>
      </c>
      <c r="Y21" s="274"/>
      <c r="Z21" s="213">
        <v>2</v>
      </c>
      <c r="AA21" s="274">
        <f t="shared" ref="AA21:AA26" ca="1" si="42">Z21/Z$27</f>
        <v>0.10526315789473684</v>
      </c>
      <c r="AB21" s="274"/>
      <c r="AC21" s="213">
        <f ca="1">Credit_2010Q4!$AD19</f>
        <v>1</v>
      </c>
      <c r="AD21" s="274">
        <f t="shared" ref="AD21:AD26" ca="1" si="43">AC21/AC$27</f>
        <v>0.05</v>
      </c>
      <c r="AE21" s="274"/>
      <c r="AF21" s="213">
        <f ca="1">Credit_2011Q4!$AD19</f>
        <v>1</v>
      </c>
      <c r="AG21" s="274">
        <f t="shared" ref="AG21:AG26" ca="1" si="44">AF21/AF$27</f>
        <v>5.2631578947368418E-2</v>
      </c>
      <c r="AH21" s="274"/>
      <c r="AI21" s="213">
        <f t="shared" ref="AI21:AI26" ca="1" si="45">INDIRECT( BP21 &amp; $BN21 )</f>
        <v>1</v>
      </c>
      <c r="AJ21" s="274">
        <f t="shared" ref="AJ21:AJ26" ca="1" si="46">AI21/AI$27</f>
        <v>5.8823529411764705E-2</v>
      </c>
      <c r="AK21" s="274"/>
      <c r="AL21" s="213">
        <f t="shared" ref="AL21:AL26" ca="1" si="47">INDIRECT( BR21 &amp; $BN21 )</f>
        <v>1</v>
      </c>
      <c r="AM21" s="274">
        <f t="shared" ref="AM21:AM26" ca="1" si="48">AL21/AL$27</f>
        <v>5.8823529411764705E-2</v>
      </c>
      <c r="AN21" s="274"/>
      <c r="AO21" s="213">
        <f ca="1">INDIRECT( BT21 &amp; $BN21 )</f>
        <v>1</v>
      </c>
      <c r="AP21" s="274">
        <f t="shared" ref="AP21:AP26" ca="1" si="49">AO21/AO$27</f>
        <v>7.6923076923076927E-2</v>
      </c>
      <c r="AQ21" s="274"/>
      <c r="AR21" s="213">
        <f t="shared" ref="AR21:AR26" ca="1" si="50">INDIRECT( BV21 &amp; $BN21 )</f>
        <v>1</v>
      </c>
      <c r="AS21" s="274">
        <f t="shared" ref="AS21:AS26" ca="1" si="51">AR21/AR$27</f>
        <v>7.6923076923076927E-2</v>
      </c>
      <c r="AT21" s="274"/>
      <c r="AU21" s="213">
        <f t="shared" ref="AU21:AU26" ca="1" si="52">INDIRECT( BX21 &amp; $BN21 )</f>
        <v>1</v>
      </c>
      <c r="AV21" s="274">
        <f t="shared" ref="AV21:AV26" ca="1" si="53">AU21/AU$27</f>
        <v>8.3333333333333329E-2</v>
      </c>
      <c r="AW21" s="274"/>
      <c r="AX21" s="213">
        <f t="shared" ref="AX21:AX26" ca="1" si="54">INDIRECT( BZ21 &amp; $BN21 )</f>
        <v>1</v>
      </c>
      <c r="AY21" s="274">
        <f t="shared" ref="AY21:AY26" ca="1" si="55">AX21/AX$27</f>
        <v>7.1428571428571425E-2</v>
      </c>
      <c r="AZ21" s="274"/>
      <c r="BA21" s="213">
        <f t="shared" ca="1" si="32"/>
        <v>2</v>
      </c>
      <c r="BB21" s="274">
        <f t="shared" ref="BB21:BB26" ca="1" si="56">BA21/BA$27</f>
        <v>0.15384615384615385</v>
      </c>
      <c r="BC21" s="274"/>
      <c r="BD21" s="213">
        <f t="shared" ref="BD21:BD26" ca="1" si="57">INDIRECT( CD21 &amp; $BN21 )</f>
        <v>1</v>
      </c>
      <c r="BE21" s="274">
        <f t="shared" ref="BE21:BE26" ca="1" si="58">BD21/BD$27</f>
        <v>0.1</v>
      </c>
      <c r="BF21" s="274"/>
      <c r="BG21" s="213">
        <f t="shared" ref="BG21:BG26" ca="1" si="59">INDIRECT( CF21 &amp; $BN21 )</f>
        <v>1</v>
      </c>
      <c r="BH21" s="274">
        <f t="shared" ref="BH21:BH26" ca="1" si="60">BG21/BG$27</f>
        <v>0.1</v>
      </c>
      <c r="BI21" s="274"/>
      <c r="BJ21" s="286">
        <f t="shared" ref="BJ21:BJ26" ca="1" si="61">INDIRECT( CH21 &amp; $BN21 )</f>
        <v>1</v>
      </c>
      <c r="BK21" s="292">
        <f t="shared" ref="BK21:BK26" ca="1" si="62">BJ21/BJ$27</f>
        <v>0.1111111111111111</v>
      </c>
      <c r="BN21" s="187">
        <f ca="1">BN11</f>
        <v>8</v>
      </c>
      <c r="BO21" s="262" t="s">
        <v>146</v>
      </c>
      <c r="BP21" s="187" t="str">
        <f t="shared" ref="BP21:BP26" ca="1" si="63">BP$5 &amp; "!" &amp;$BO21</f>
        <v>'Credit_2012Q4'!r</v>
      </c>
      <c r="BR21" s="187" t="str">
        <f t="shared" ref="BR21:BR26" ca="1" si="64">BR$5 &amp; "!" &amp;$BO21</f>
        <v>'Credit_2013Q4'!r</v>
      </c>
      <c r="BT21" s="187" t="str">
        <f t="shared" ref="BT21:CH26" ca="1" si="65">BT$5 &amp; "!" &amp;$BO21</f>
        <v>'Credit_2014Q4'!r</v>
      </c>
      <c r="BV21" s="187" t="str">
        <f t="shared" ca="1" si="65"/>
        <v>'Credit_2015Q4'!r</v>
      </c>
      <c r="BX21" s="187" t="str">
        <f t="shared" ca="1" si="65"/>
        <v>'Credit_2016Q4'!r</v>
      </c>
      <c r="BZ21" s="187" t="str">
        <f t="shared" ca="1" si="65"/>
        <v>'Credit_2017Q4'!r</v>
      </c>
      <c r="CB21" s="187" t="str">
        <f t="shared" ca="1" si="65"/>
        <v>'Credit_2018Q4'!r</v>
      </c>
      <c r="CD21" s="187" t="str">
        <f t="shared" ca="1" si="65"/>
        <v>'Credit_2019Q4'!r</v>
      </c>
      <c r="CF21" s="187" t="str">
        <f t="shared" ca="1" si="65"/>
        <v>'Credit_2020Q4'!r</v>
      </c>
      <c r="CH21" s="187" t="str">
        <f t="shared" ca="1" si="65"/>
        <v>'Credit_2021Q4'!r</v>
      </c>
    </row>
    <row r="22" spans="3:86">
      <c r="C22" s="263"/>
      <c r="D22" s="263" t="s">
        <v>139</v>
      </c>
      <c r="E22" s="215">
        <v>3</v>
      </c>
      <c r="F22" s="275">
        <v>0.125</v>
      </c>
      <c r="G22" s="264"/>
      <c r="H22" s="215">
        <v>2</v>
      </c>
      <c r="I22" s="275">
        <v>0.1</v>
      </c>
      <c r="J22" s="264"/>
      <c r="K22" s="215">
        <v>1</v>
      </c>
      <c r="L22" s="275">
        <v>4.3478260869565216E-2</v>
      </c>
      <c r="M22" s="264"/>
      <c r="N22" s="215">
        <v>0</v>
      </c>
      <c r="O22" s="275">
        <f t="shared" ca="1" si="38"/>
        <v>0</v>
      </c>
      <c r="P22" s="275"/>
      <c r="Q22" s="215">
        <v>2</v>
      </c>
      <c r="R22" s="275">
        <f t="shared" ca="1" si="39"/>
        <v>8.6956521739130432E-2</v>
      </c>
      <c r="S22" s="275"/>
      <c r="T22" s="215">
        <v>3</v>
      </c>
      <c r="U22" s="275">
        <f t="shared" ca="1" si="40"/>
        <v>0.15789473684210525</v>
      </c>
      <c r="V22" s="275"/>
      <c r="W22" s="215">
        <v>5</v>
      </c>
      <c r="X22" s="275">
        <f t="shared" ca="1" si="41"/>
        <v>0.26315789473684209</v>
      </c>
      <c r="Y22" s="275"/>
      <c r="Z22" s="215">
        <v>2</v>
      </c>
      <c r="AA22" s="275">
        <f t="shared" ca="1" si="42"/>
        <v>0.10526315789473684</v>
      </c>
      <c r="AB22" s="275"/>
      <c r="AC22" s="215">
        <f ca="1">Credit_2010Q4!$AD20</f>
        <v>3</v>
      </c>
      <c r="AD22" s="275">
        <f t="shared" ca="1" si="43"/>
        <v>0.15</v>
      </c>
      <c r="AE22" s="275"/>
      <c r="AF22" s="215">
        <f ca="1">Credit_2011Q4!$AD20</f>
        <v>3</v>
      </c>
      <c r="AG22" s="275">
        <f t="shared" ca="1" si="44"/>
        <v>0.15789473684210525</v>
      </c>
      <c r="AH22" s="275"/>
      <c r="AI22" s="215">
        <f t="shared" ca="1" si="45"/>
        <v>2</v>
      </c>
      <c r="AJ22" s="275">
        <f t="shared" ca="1" si="46"/>
        <v>0.11764705882352941</v>
      </c>
      <c r="AK22" s="275"/>
      <c r="AL22" s="215">
        <f t="shared" ca="1" si="47"/>
        <v>5</v>
      </c>
      <c r="AM22" s="275">
        <f t="shared" ca="1" si="48"/>
        <v>0.29411764705882354</v>
      </c>
      <c r="AN22" s="275"/>
      <c r="AO22" s="215">
        <f t="shared" ref="AO22:AO26" ca="1" si="66">INDIRECT( BT22 &amp; $BN22 )</f>
        <v>4</v>
      </c>
      <c r="AP22" s="275">
        <f t="shared" ca="1" si="49"/>
        <v>0.30769230769230771</v>
      </c>
      <c r="AQ22" s="275"/>
      <c r="AR22" s="215">
        <f t="shared" ca="1" si="50"/>
        <v>5</v>
      </c>
      <c r="AS22" s="275">
        <f t="shared" ca="1" si="51"/>
        <v>0.38461538461538464</v>
      </c>
      <c r="AT22" s="275"/>
      <c r="AU22" s="215">
        <f t="shared" ca="1" si="52"/>
        <v>2</v>
      </c>
      <c r="AV22" s="275">
        <f t="shared" ca="1" si="53"/>
        <v>0.16666666666666666</v>
      </c>
      <c r="AW22" s="275"/>
      <c r="AX22" s="215">
        <f t="shared" ca="1" si="54"/>
        <v>2</v>
      </c>
      <c r="AY22" s="275">
        <f t="shared" ca="1" si="55"/>
        <v>0.14285714285714285</v>
      </c>
      <c r="AZ22" s="275"/>
      <c r="BA22" s="215">
        <f t="shared" ca="1" si="32"/>
        <v>2</v>
      </c>
      <c r="BB22" s="275">
        <f t="shared" ca="1" si="56"/>
        <v>0.15384615384615385</v>
      </c>
      <c r="BC22" s="275"/>
      <c r="BD22" s="215">
        <f t="shared" ca="1" si="57"/>
        <v>1</v>
      </c>
      <c r="BE22" s="275">
        <f t="shared" ca="1" si="58"/>
        <v>0.1</v>
      </c>
      <c r="BF22" s="275"/>
      <c r="BG22" s="215">
        <f t="shared" ca="1" si="59"/>
        <v>1</v>
      </c>
      <c r="BH22" s="275">
        <f t="shared" ca="1" si="60"/>
        <v>0.1</v>
      </c>
      <c r="BI22" s="275"/>
      <c r="BJ22" s="287">
        <f t="shared" ca="1" si="61"/>
        <v>1</v>
      </c>
      <c r="BK22" s="293">
        <f t="shared" ca="1" si="62"/>
        <v>0.1111111111111111</v>
      </c>
      <c r="BN22" s="187">
        <f t="shared" ref="BN22:BN26" ca="1" si="67">BN12</f>
        <v>9</v>
      </c>
      <c r="BO22" s="185" t="str">
        <f ca="1">BO21</f>
        <v>r</v>
      </c>
      <c r="BP22" s="187" t="str">
        <f t="shared" ca="1" si="63"/>
        <v>'Credit_2012Q4'!r</v>
      </c>
      <c r="BR22" s="187" t="str">
        <f t="shared" ca="1" si="64"/>
        <v>'Credit_2013Q4'!r</v>
      </c>
      <c r="BT22" s="187" t="str">
        <f t="shared" ca="1" si="65"/>
        <v>'Credit_2014Q4'!r</v>
      </c>
      <c r="BV22" s="187" t="str">
        <f t="shared" ca="1" si="65"/>
        <v>'Credit_2015Q4'!r</v>
      </c>
      <c r="BX22" s="187" t="str">
        <f t="shared" ca="1" si="65"/>
        <v>'Credit_2016Q4'!r</v>
      </c>
      <c r="BZ22" s="187" t="str">
        <f t="shared" ca="1" si="65"/>
        <v>'Credit_2017Q4'!r</v>
      </c>
      <c r="CB22" s="187" t="str">
        <f t="shared" ca="1" si="65"/>
        <v>'Credit_2018Q4'!r</v>
      </c>
      <c r="CD22" s="187" t="str">
        <f t="shared" ca="1" si="65"/>
        <v>'Credit_2019Q4'!r</v>
      </c>
      <c r="CF22" s="187" t="str">
        <f t="shared" ca="1" si="65"/>
        <v>'Credit_2020Q4'!r</v>
      </c>
      <c r="CH22" s="187" t="str">
        <f t="shared" ca="1" si="65"/>
        <v>'Credit_2021Q4'!r</v>
      </c>
    </row>
    <row r="23" spans="3:86">
      <c r="C23" s="263"/>
      <c r="D23" s="263" t="s">
        <v>140</v>
      </c>
      <c r="E23" s="215">
        <v>6</v>
      </c>
      <c r="F23" s="275">
        <v>0.25</v>
      </c>
      <c r="G23" s="264"/>
      <c r="H23" s="215">
        <v>5</v>
      </c>
      <c r="I23" s="275">
        <v>0.25</v>
      </c>
      <c r="J23" s="264"/>
      <c r="K23" s="215">
        <v>6</v>
      </c>
      <c r="L23" s="275">
        <v>0.2608695652173913</v>
      </c>
      <c r="M23" s="264"/>
      <c r="N23" s="215">
        <v>6</v>
      </c>
      <c r="O23" s="275">
        <f t="shared" ca="1" si="38"/>
        <v>0.27272727272727271</v>
      </c>
      <c r="P23" s="275"/>
      <c r="Q23" s="215">
        <v>3</v>
      </c>
      <c r="R23" s="275">
        <f t="shared" ca="1" si="39"/>
        <v>0.13043478260869565</v>
      </c>
      <c r="S23" s="275"/>
      <c r="T23" s="215">
        <v>4</v>
      </c>
      <c r="U23" s="275">
        <f t="shared" ca="1" si="40"/>
        <v>0.21052631578947367</v>
      </c>
      <c r="V23" s="275"/>
      <c r="W23" s="215">
        <v>2</v>
      </c>
      <c r="X23" s="275">
        <f t="shared" ca="1" si="41"/>
        <v>0.10526315789473684</v>
      </c>
      <c r="Y23" s="275"/>
      <c r="Z23" s="215">
        <v>5</v>
      </c>
      <c r="AA23" s="275">
        <f t="shared" ca="1" si="42"/>
        <v>0.26315789473684209</v>
      </c>
      <c r="AB23" s="275"/>
      <c r="AC23" s="215">
        <f ca="1">Credit_2010Q4!$AD21</f>
        <v>6</v>
      </c>
      <c r="AD23" s="275">
        <f t="shared" ca="1" si="43"/>
        <v>0.3</v>
      </c>
      <c r="AE23" s="275"/>
      <c r="AF23" s="215">
        <f ca="1">Credit_2011Q4!$AD21</f>
        <v>6</v>
      </c>
      <c r="AG23" s="275">
        <f t="shared" ca="1" si="44"/>
        <v>0.31578947368421051</v>
      </c>
      <c r="AH23" s="275"/>
      <c r="AI23" s="215">
        <f t="shared" ca="1" si="45"/>
        <v>7</v>
      </c>
      <c r="AJ23" s="275">
        <f t="shared" ca="1" si="46"/>
        <v>0.41176470588235292</v>
      </c>
      <c r="AK23" s="275"/>
      <c r="AL23" s="215">
        <f t="shared" ca="1" si="47"/>
        <v>5</v>
      </c>
      <c r="AM23" s="275">
        <f t="shared" ca="1" si="48"/>
        <v>0.29411764705882354</v>
      </c>
      <c r="AN23" s="275"/>
      <c r="AO23" s="215">
        <f t="shared" ca="1" si="66"/>
        <v>4</v>
      </c>
      <c r="AP23" s="275">
        <f t="shared" ca="1" si="49"/>
        <v>0.30769230769230771</v>
      </c>
      <c r="AQ23" s="275"/>
      <c r="AR23" s="215">
        <f t="shared" ca="1" si="50"/>
        <v>5</v>
      </c>
      <c r="AS23" s="275">
        <f t="shared" ca="1" si="51"/>
        <v>0.38461538461538464</v>
      </c>
      <c r="AT23" s="275"/>
      <c r="AU23" s="215">
        <f t="shared" ca="1" si="52"/>
        <v>7</v>
      </c>
      <c r="AV23" s="275">
        <f t="shared" ca="1" si="53"/>
        <v>0.58333333333333337</v>
      </c>
      <c r="AW23" s="275"/>
      <c r="AX23" s="215">
        <f t="shared" ca="1" si="54"/>
        <v>7</v>
      </c>
      <c r="AY23" s="275">
        <f t="shared" ca="1" si="55"/>
        <v>0.5</v>
      </c>
      <c r="AZ23" s="275"/>
      <c r="BA23" s="215">
        <f t="shared" ca="1" si="32"/>
        <v>7</v>
      </c>
      <c r="BB23" s="275">
        <f t="shared" ca="1" si="56"/>
        <v>0.53846153846153844</v>
      </c>
      <c r="BC23" s="275"/>
      <c r="BD23" s="215">
        <f t="shared" ca="1" si="57"/>
        <v>7</v>
      </c>
      <c r="BE23" s="275">
        <f t="shared" ca="1" si="58"/>
        <v>0.7</v>
      </c>
      <c r="BF23" s="275"/>
      <c r="BG23" s="215">
        <f t="shared" ca="1" si="59"/>
        <v>6</v>
      </c>
      <c r="BH23" s="275">
        <f t="shared" ca="1" si="60"/>
        <v>0.6</v>
      </c>
      <c r="BI23" s="275"/>
      <c r="BJ23" s="287">
        <f t="shared" ca="1" si="61"/>
        <v>5</v>
      </c>
      <c r="BK23" s="293">
        <f t="shared" ca="1" si="62"/>
        <v>0.55555555555555558</v>
      </c>
      <c r="BN23" s="187">
        <f t="shared" ca="1" si="67"/>
        <v>10</v>
      </c>
      <c r="BO23" s="185" t="str">
        <f t="shared" ref="BO23:BO26" ca="1" si="68">BO22</f>
        <v>r</v>
      </c>
      <c r="BP23" s="187" t="str">
        <f t="shared" ca="1" si="63"/>
        <v>'Credit_2012Q4'!r</v>
      </c>
      <c r="BR23" s="187" t="str">
        <f t="shared" ca="1" si="64"/>
        <v>'Credit_2013Q4'!r</v>
      </c>
      <c r="BT23" s="187" t="str">
        <f t="shared" ca="1" si="65"/>
        <v>'Credit_2014Q4'!r</v>
      </c>
      <c r="BV23" s="187" t="str">
        <f t="shared" ca="1" si="65"/>
        <v>'Credit_2015Q4'!r</v>
      </c>
      <c r="BX23" s="187" t="str">
        <f t="shared" ca="1" si="65"/>
        <v>'Credit_2016Q4'!r</v>
      </c>
      <c r="BZ23" s="187" t="str">
        <f t="shared" ca="1" si="65"/>
        <v>'Credit_2017Q4'!r</v>
      </c>
      <c r="CB23" s="187" t="str">
        <f t="shared" ca="1" si="65"/>
        <v>'Credit_2018Q4'!r</v>
      </c>
      <c r="CD23" s="187" t="str">
        <f t="shared" ca="1" si="65"/>
        <v>'Credit_2019Q4'!r</v>
      </c>
      <c r="CF23" s="187" t="str">
        <f t="shared" ca="1" si="65"/>
        <v>'Credit_2020Q4'!r</v>
      </c>
      <c r="CH23" s="187" t="str">
        <f t="shared" ca="1" si="65"/>
        <v>'Credit_2021Q4'!r</v>
      </c>
    </row>
    <row r="24" spans="3:86">
      <c r="C24" s="263"/>
      <c r="D24" s="263" t="s">
        <v>141</v>
      </c>
      <c r="E24" s="215">
        <v>4</v>
      </c>
      <c r="F24" s="275">
        <v>0.16666666666666666</v>
      </c>
      <c r="G24" s="264"/>
      <c r="H24" s="215">
        <v>4</v>
      </c>
      <c r="I24" s="275">
        <v>0.2</v>
      </c>
      <c r="J24" s="264"/>
      <c r="K24" s="215">
        <v>7</v>
      </c>
      <c r="L24" s="275">
        <v>0.30434782608695654</v>
      </c>
      <c r="M24" s="264"/>
      <c r="N24" s="215">
        <v>9</v>
      </c>
      <c r="O24" s="275">
        <f t="shared" ca="1" si="38"/>
        <v>0.40909090909090912</v>
      </c>
      <c r="P24" s="275"/>
      <c r="Q24" s="215">
        <v>11</v>
      </c>
      <c r="R24" s="275">
        <f t="shared" ca="1" si="39"/>
        <v>0.47826086956521741</v>
      </c>
      <c r="S24" s="275"/>
      <c r="T24" s="215">
        <v>6</v>
      </c>
      <c r="U24" s="275">
        <f t="shared" ca="1" si="40"/>
        <v>0.31578947368421051</v>
      </c>
      <c r="V24" s="275"/>
      <c r="W24" s="215">
        <v>8</v>
      </c>
      <c r="X24" s="275">
        <f t="shared" ca="1" si="41"/>
        <v>0.42105263157894735</v>
      </c>
      <c r="Y24" s="275"/>
      <c r="Z24" s="215">
        <v>6</v>
      </c>
      <c r="AA24" s="275">
        <f t="shared" ca="1" si="42"/>
        <v>0.31578947368421051</v>
      </c>
      <c r="AB24" s="275"/>
      <c r="AC24" s="215">
        <f ca="1">Credit_2010Q4!$AD22</f>
        <v>4</v>
      </c>
      <c r="AD24" s="275">
        <f t="shared" ca="1" si="43"/>
        <v>0.2</v>
      </c>
      <c r="AE24" s="275"/>
      <c r="AF24" s="215">
        <f ca="1">Credit_2011Q4!$AD22</f>
        <v>3</v>
      </c>
      <c r="AG24" s="275">
        <f t="shared" ca="1" si="44"/>
        <v>0.15789473684210525</v>
      </c>
      <c r="AH24" s="275"/>
      <c r="AI24" s="215">
        <f t="shared" ca="1" si="45"/>
        <v>3</v>
      </c>
      <c r="AJ24" s="275">
        <f t="shared" ca="1" si="46"/>
        <v>0.17647058823529413</v>
      </c>
      <c r="AK24" s="275"/>
      <c r="AL24" s="215">
        <f t="shared" ca="1" si="47"/>
        <v>3</v>
      </c>
      <c r="AM24" s="275">
        <f t="shared" ca="1" si="48"/>
        <v>0.17647058823529413</v>
      </c>
      <c r="AN24" s="275"/>
      <c r="AO24" s="215">
        <f t="shared" ca="1" si="66"/>
        <v>2</v>
      </c>
      <c r="AP24" s="275">
        <f t="shared" ca="1" si="49"/>
        <v>0.15384615384615385</v>
      </c>
      <c r="AQ24" s="275"/>
      <c r="AR24" s="215">
        <f t="shared" ca="1" si="50"/>
        <v>1</v>
      </c>
      <c r="AS24" s="275">
        <f t="shared" ca="1" si="51"/>
        <v>7.6923076923076927E-2</v>
      </c>
      <c r="AT24" s="275"/>
      <c r="AU24" s="215">
        <f t="shared" ca="1" si="52"/>
        <v>0</v>
      </c>
      <c r="AV24" s="275">
        <f t="shared" ca="1" si="53"/>
        <v>0</v>
      </c>
      <c r="AW24" s="275"/>
      <c r="AX24" s="215">
        <f t="shared" ca="1" si="54"/>
        <v>2</v>
      </c>
      <c r="AY24" s="275">
        <f t="shared" ca="1" si="55"/>
        <v>0.14285714285714285</v>
      </c>
      <c r="AZ24" s="275"/>
      <c r="BA24" s="215">
        <f t="shared" ca="1" si="32"/>
        <v>1</v>
      </c>
      <c r="BB24" s="275">
        <f t="shared" ca="1" si="56"/>
        <v>7.6923076923076927E-2</v>
      </c>
      <c r="BC24" s="275"/>
      <c r="BD24" s="215">
        <f t="shared" ca="1" si="57"/>
        <v>0</v>
      </c>
      <c r="BE24" s="275">
        <f t="shared" ca="1" si="58"/>
        <v>0</v>
      </c>
      <c r="BF24" s="275"/>
      <c r="BG24" s="215">
        <f t="shared" ca="1" si="59"/>
        <v>1</v>
      </c>
      <c r="BH24" s="275">
        <f t="shared" ca="1" si="60"/>
        <v>0.1</v>
      </c>
      <c r="BI24" s="275"/>
      <c r="BJ24" s="287">
        <f t="shared" ca="1" si="61"/>
        <v>1</v>
      </c>
      <c r="BK24" s="293">
        <f t="shared" ca="1" si="62"/>
        <v>0.1111111111111111</v>
      </c>
      <c r="BN24" s="187">
        <f t="shared" ca="1" si="67"/>
        <v>11</v>
      </c>
      <c r="BO24" s="185" t="str">
        <f t="shared" ca="1" si="68"/>
        <v>r</v>
      </c>
      <c r="BP24" s="187" t="str">
        <f t="shared" ca="1" si="63"/>
        <v>'Credit_2012Q4'!r</v>
      </c>
      <c r="BR24" s="187" t="str">
        <f t="shared" ca="1" si="64"/>
        <v>'Credit_2013Q4'!r</v>
      </c>
      <c r="BT24" s="187" t="str">
        <f t="shared" ca="1" si="65"/>
        <v>'Credit_2014Q4'!r</v>
      </c>
      <c r="BV24" s="187" t="str">
        <f t="shared" ca="1" si="65"/>
        <v>'Credit_2015Q4'!r</v>
      </c>
      <c r="BX24" s="187" t="str">
        <f t="shared" ca="1" si="65"/>
        <v>'Credit_2016Q4'!r</v>
      </c>
      <c r="BZ24" s="187" t="str">
        <f t="shared" ca="1" si="65"/>
        <v>'Credit_2017Q4'!r</v>
      </c>
      <c r="CB24" s="187" t="str">
        <f t="shared" ca="1" si="65"/>
        <v>'Credit_2018Q4'!r</v>
      </c>
      <c r="CD24" s="187" t="str">
        <f t="shared" ca="1" si="65"/>
        <v>'Credit_2019Q4'!r</v>
      </c>
      <c r="CF24" s="187" t="str">
        <f t="shared" ca="1" si="65"/>
        <v>'Credit_2020Q4'!r</v>
      </c>
      <c r="CH24" s="187" t="str">
        <f t="shared" ca="1" si="65"/>
        <v>'Credit_2021Q4'!r</v>
      </c>
    </row>
    <row r="25" spans="3:86">
      <c r="C25" s="263"/>
      <c r="D25" s="263" t="s">
        <v>142</v>
      </c>
      <c r="E25" s="215">
        <v>2</v>
      </c>
      <c r="F25" s="275">
        <v>8.3333333333333329E-2</v>
      </c>
      <c r="G25" s="264"/>
      <c r="H25" s="215">
        <v>2</v>
      </c>
      <c r="I25" s="275">
        <v>0.1</v>
      </c>
      <c r="J25" s="264"/>
      <c r="K25" s="215">
        <v>7</v>
      </c>
      <c r="L25" s="275">
        <v>0.30434782608695654</v>
      </c>
      <c r="M25" s="264"/>
      <c r="N25" s="215">
        <v>0</v>
      </c>
      <c r="O25" s="275">
        <f t="shared" ca="1" si="38"/>
        <v>0</v>
      </c>
      <c r="P25" s="275"/>
      <c r="Q25" s="215">
        <v>1</v>
      </c>
      <c r="R25" s="275">
        <f t="shared" ca="1" si="39"/>
        <v>4.3478260869565216E-2</v>
      </c>
      <c r="S25" s="275"/>
      <c r="T25" s="215">
        <v>4</v>
      </c>
      <c r="U25" s="275">
        <f t="shared" ca="1" si="40"/>
        <v>0.21052631578947367</v>
      </c>
      <c r="V25" s="275"/>
      <c r="W25" s="215">
        <v>3</v>
      </c>
      <c r="X25" s="275">
        <f t="shared" ca="1" si="41"/>
        <v>0.15789473684210525</v>
      </c>
      <c r="Y25" s="275"/>
      <c r="Z25" s="215">
        <v>4</v>
      </c>
      <c r="AA25" s="275">
        <f t="shared" ca="1" si="42"/>
        <v>0.21052631578947367</v>
      </c>
      <c r="AB25" s="275"/>
      <c r="AC25" s="215">
        <f ca="1">Credit_2010Q4!$AD23</f>
        <v>6</v>
      </c>
      <c r="AD25" s="275">
        <f t="shared" ca="1" si="43"/>
        <v>0.3</v>
      </c>
      <c r="AE25" s="275"/>
      <c r="AF25" s="215">
        <f ca="1">Credit_2011Q4!$AD23</f>
        <v>6</v>
      </c>
      <c r="AG25" s="275">
        <f t="shared" ca="1" si="44"/>
        <v>0.31578947368421051</v>
      </c>
      <c r="AH25" s="275"/>
      <c r="AI25" s="215">
        <f t="shared" ca="1" si="45"/>
        <v>4</v>
      </c>
      <c r="AJ25" s="275">
        <f t="shared" ca="1" si="46"/>
        <v>0.23529411764705882</v>
      </c>
      <c r="AK25" s="275"/>
      <c r="AL25" s="215">
        <f t="shared" ca="1" si="47"/>
        <v>3</v>
      </c>
      <c r="AM25" s="275">
        <f t="shared" ca="1" si="48"/>
        <v>0.17647058823529413</v>
      </c>
      <c r="AN25" s="275"/>
      <c r="AO25" s="215">
        <f t="shared" ca="1" si="66"/>
        <v>2</v>
      </c>
      <c r="AP25" s="275">
        <f t="shared" ca="1" si="49"/>
        <v>0.15384615384615385</v>
      </c>
      <c r="AQ25" s="275"/>
      <c r="AR25" s="215">
        <f t="shared" ca="1" si="50"/>
        <v>1</v>
      </c>
      <c r="AS25" s="275">
        <f t="shared" ca="1" si="51"/>
        <v>7.6923076923076927E-2</v>
      </c>
      <c r="AT25" s="275"/>
      <c r="AU25" s="215">
        <f t="shared" ca="1" si="52"/>
        <v>1</v>
      </c>
      <c r="AV25" s="275">
        <f t="shared" ca="1" si="53"/>
        <v>8.3333333333333329E-2</v>
      </c>
      <c r="AW25" s="275"/>
      <c r="AX25" s="215">
        <f t="shared" ca="1" si="54"/>
        <v>1</v>
      </c>
      <c r="AY25" s="275">
        <f t="shared" ca="1" si="55"/>
        <v>7.1428571428571425E-2</v>
      </c>
      <c r="AZ25" s="275"/>
      <c r="BA25" s="215">
        <f t="shared" ca="1" si="32"/>
        <v>1</v>
      </c>
      <c r="BB25" s="275">
        <f t="shared" ca="1" si="56"/>
        <v>7.6923076923076927E-2</v>
      </c>
      <c r="BC25" s="275"/>
      <c r="BD25" s="215">
        <f t="shared" ca="1" si="57"/>
        <v>1</v>
      </c>
      <c r="BE25" s="275">
        <f t="shared" ca="1" si="58"/>
        <v>0.1</v>
      </c>
      <c r="BF25" s="275"/>
      <c r="BG25" s="215">
        <f t="shared" ca="1" si="59"/>
        <v>1</v>
      </c>
      <c r="BH25" s="275">
        <f t="shared" ca="1" si="60"/>
        <v>0.1</v>
      </c>
      <c r="BI25" s="275"/>
      <c r="BJ25" s="287">
        <f t="shared" ca="1" si="61"/>
        <v>1</v>
      </c>
      <c r="BK25" s="293">
        <f t="shared" ca="1" si="62"/>
        <v>0.1111111111111111</v>
      </c>
      <c r="BN25" s="187">
        <f t="shared" ca="1" si="67"/>
        <v>12</v>
      </c>
      <c r="BO25" s="185" t="str">
        <f t="shared" ca="1" si="68"/>
        <v>r</v>
      </c>
      <c r="BP25" s="187" t="str">
        <f t="shared" ca="1" si="63"/>
        <v>'Credit_2012Q4'!r</v>
      </c>
      <c r="BR25" s="187" t="str">
        <f t="shared" ca="1" si="64"/>
        <v>'Credit_2013Q4'!r</v>
      </c>
      <c r="BT25" s="187" t="str">
        <f t="shared" ca="1" si="65"/>
        <v>'Credit_2014Q4'!r</v>
      </c>
      <c r="BV25" s="187" t="str">
        <f t="shared" ca="1" si="65"/>
        <v>'Credit_2015Q4'!r</v>
      </c>
      <c r="BX25" s="187" t="str">
        <f t="shared" ca="1" si="65"/>
        <v>'Credit_2016Q4'!r</v>
      </c>
      <c r="BZ25" s="187" t="str">
        <f t="shared" ca="1" si="65"/>
        <v>'Credit_2017Q4'!r</v>
      </c>
      <c r="CB25" s="187" t="str">
        <f t="shared" ca="1" si="65"/>
        <v>'Credit_2018Q4'!r</v>
      </c>
      <c r="CD25" s="187" t="str">
        <f t="shared" ca="1" si="65"/>
        <v>'Credit_2019Q4'!r</v>
      </c>
      <c r="CF25" s="187" t="str">
        <f t="shared" ca="1" si="65"/>
        <v>'Credit_2020Q4'!r</v>
      </c>
      <c r="CH25" s="187" t="str">
        <f t="shared" ca="1" si="65"/>
        <v>'Credit_2021Q4'!r</v>
      </c>
    </row>
    <row r="26" spans="3:86">
      <c r="C26" s="265"/>
      <c r="D26" s="265" t="s">
        <v>143</v>
      </c>
      <c r="E26" s="217">
        <v>4</v>
      </c>
      <c r="F26" s="276">
        <v>0.16666666666666666</v>
      </c>
      <c r="G26" s="266"/>
      <c r="H26" s="217">
        <v>4</v>
      </c>
      <c r="I26" s="276">
        <v>0.2</v>
      </c>
      <c r="J26" s="267"/>
      <c r="K26" s="217">
        <v>0</v>
      </c>
      <c r="L26" s="276">
        <v>0</v>
      </c>
      <c r="M26" s="266"/>
      <c r="N26" s="217">
        <v>5</v>
      </c>
      <c r="O26" s="276">
        <f t="shared" ca="1" si="38"/>
        <v>0.22727272727272727</v>
      </c>
      <c r="P26" s="276"/>
      <c r="Q26" s="217">
        <v>5</v>
      </c>
      <c r="R26" s="276">
        <f t="shared" ca="1" si="39"/>
        <v>0.21739130434782608</v>
      </c>
      <c r="S26" s="276"/>
      <c r="T26" s="217">
        <v>1</v>
      </c>
      <c r="U26" s="276">
        <f t="shared" ca="1" si="40"/>
        <v>5.2631578947368418E-2</v>
      </c>
      <c r="V26" s="276"/>
      <c r="W26" s="217">
        <v>0</v>
      </c>
      <c r="X26" s="276">
        <f t="shared" ca="1" si="41"/>
        <v>0</v>
      </c>
      <c r="Y26" s="276"/>
      <c r="Z26" s="217">
        <v>0</v>
      </c>
      <c r="AA26" s="276">
        <f t="shared" ca="1" si="42"/>
        <v>0</v>
      </c>
      <c r="AB26" s="276"/>
      <c r="AC26" s="217">
        <f ca="1">Credit_2010Q4!$AD24</f>
        <v>0</v>
      </c>
      <c r="AD26" s="276">
        <f t="shared" ca="1" si="43"/>
        <v>0</v>
      </c>
      <c r="AE26" s="276"/>
      <c r="AF26" s="217">
        <f ca="1">Credit_2011Q4!$AD24</f>
        <v>0</v>
      </c>
      <c r="AG26" s="276">
        <f t="shared" ca="1" si="44"/>
        <v>0</v>
      </c>
      <c r="AH26" s="276"/>
      <c r="AI26" s="217">
        <f t="shared" ca="1" si="45"/>
        <v>0</v>
      </c>
      <c r="AJ26" s="276">
        <f t="shared" ca="1" si="46"/>
        <v>0</v>
      </c>
      <c r="AK26" s="276"/>
      <c r="AL26" s="217">
        <f t="shared" ca="1" si="47"/>
        <v>0</v>
      </c>
      <c r="AM26" s="276">
        <f t="shared" ca="1" si="48"/>
        <v>0</v>
      </c>
      <c r="AN26" s="276"/>
      <c r="AO26" s="217">
        <f t="shared" ca="1" si="66"/>
        <v>0</v>
      </c>
      <c r="AP26" s="276">
        <f t="shared" ca="1" si="49"/>
        <v>0</v>
      </c>
      <c r="AQ26" s="276"/>
      <c r="AR26" s="217">
        <f t="shared" ca="1" si="50"/>
        <v>0</v>
      </c>
      <c r="AS26" s="276">
        <f t="shared" ca="1" si="51"/>
        <v>0</v>
      </c>
      <c r="AT26" s="276"/>
      <c r="AU26" s="217">
        <f t="shared" ca="1" si="52"/>
        <v>1</v>
      </c>
      <c r="AV26" s="276">
        <f t="shared" ca="1" si="53"/>
        <v>8.3333333333333329E-2</v>
      </c>
      <c r="AW26" s="276"/>
      <c r="AX26" s="217">
        <f t="shared" ca="1" si="54"/>
        <v>1</v>
      </c>
      <c r="AY26" s="276">
        <f t="shared" ca="1" si="55"/>
        <v>7.1428571428571425E-2</v>
      </c>
      <c r="AZ26" s="276"/>
      <c r="BA26" s="217">
        <f t="shared" ca="1" si="32"/>
        <v>0</v>
      </c>
      <c r="BB26" s="276">
        <f t="shared" ca="1" si="56"/>
        <v>0</v>
      </c>
      <c r="BC26" s="276"/>
      <c r="BD26" s="217">
        <f t="shared" ca="1" si="57"/>
        <v>0</v>
      </c>
      <c r="BE26" s="276">
        <f t="shared" ca="1" si="58"/>
        <v>0</v>
      </c>
      <c r="BF26" s="276"/>
      <c r="BG26" s="217">
        <f t="shared" ca="1" si="59"/>
        <v>0</v>
      </c>
      <c r="BH26" s="276">
        <f t="shared" ca="1" si="60"/>
        <v>0</v>
      </c>
      <c r="BI26" s="276"/>
      <c r="BJ26" s="288">
        <f t="shared" ca="1" si="61"/>
        <v>0</v>
      </c>
      <c r="BK26" s="294">
        <f t="shared" ca="1" si="62"/>
        <v>0</v>
      </c>
      <c r="BN26" s="187">
        <f t="shared" ca="1" si="67"/>
        <v>13</v>
      </c>
      <c r="BO26" s="185" t="str">
        <f t="shared" ca="1" si="68"/>
        <v>r</v>
      </c>
      <c r="BP26" s="187" t="str">
        <f t="shared" ca="1" si="63"/>
        <v>'Credit_2012Q4'!r</v>
      </c>
      <c r="BR26" s="187" t="str">
        <f t="shared" ca="1" si="64"/>
        <v>'Credit_2013Q4'!r</v>
      </c>
      <c r="BT26" s="187" t="str">
        <f t="shared" ca="1" si="65"/>
        <v>'Credit_2014Q4'!r</v>
      </c>
      <c r="BV26" s="187" t="str">
        <f t="shared" ca="1" si="65"/>
        <v>'Credit_2015Q4'!r</v>
      </c>
      <c r="BX26" s="187" t="str">
        <f t="shared" ca="1" si="65"/>
        <v>'Credit_2016Q4'!r</v>
      </c>
      <c r="BZ26" s="187" t="str">
        <f t="shared" ca="1" si="65"/>
        <v>'Credit_2017Q4'!r</v>
      </c>
      <c r="CB26" s="187" t="str">
        <f t="shared" ca="1" si="65"/>
        <v>'Credit_2018Q4'!r</v>
      </c>
      <c r="CD26" s="187" t="str">
        <f t="shared" ca="1" si="65"/>
        <v>'Credit_2019Q4'!r</v>
      </c>
      <c r="CF26" s="187" t="str">
        <f t="shared" ca="1" si="65"/>
        <v>'Credit_2020Q4'!r</v>
      </c>
      <c r="CH26" s="187" t="str">
        <f t="shared" ca="1" si="65"/>
        <v>'Credit_2021Q4'!r</v>
      </c>
    </row>
    <row r="27" spans="3:86" s="250" customFormat="1">
      <c r="C27" s="268"/>
      <c r="D27" s="268" t="s">
        <v>144</v>
      </c>
      <c r="E27" s="211">
        <f t="shared" ref="E27:AA27" ca="1" si="69">SUM(E21:E26)</f>
        <v>24</v>
      </c>
      <c r="F27" s="277">
        <f t="shared" ca="1" si="69"/>
        <v>1</v>
      </c>
      <c r="G27" s="269"/>
      <c r="H27" s="211">
        <f t="shared" ca="1" si="69"/>
        <v>20</v>
      </c>
      <c r="I27" s="277">
        <f t="shared" ca="1" si="69"/>
        <v>1</v>
      </c>
      <c r="J27" s="269"/>
      <c r="K27" s="211">
        <f t="shared" ca="1" si="69"/>
        <v>23</v>
      </c>
      <c r="L27" s="277">
        <f t="shared" ca="1" si="69"/>
        <v>1</v>
      </c>
      <c r="M27" s="269"/>
      <c r="N27" s="211">
        <f ca="1">SUM(N21:N26)</f>
        <v>22</v>
      </c>
      <c r="O27" s="277">
        <f ca="1">SUM(O21:O26)</f>
        <v>1</v>
      </c>
      <c r="P27" s="277"/>
      <c r="Q27" s="211">
        <f ca="1">SUM(Q21:Q26)</f>
        <v>23</v>
      </c>
      <c r="R27" s="277">
        <f t="shared" ca="1" si="69"/>
        <v>0.99999999999999989</v>
      </c>
      <c r="S27" s="277"/>
      <c r="T27" s="211">
        <f ca="1">SUM(T21:T26)</f>
        <v>19</v>
      </c>
      <c r="U27" s="277">
        <f t="shared" ca="1" si="69"/>
        <v>1</v>
      </c>
      <c r="V27" s="277"/>
      <c r="W27" s="211">
        <f ca="1">SUM(W21:W26)</f>
        <v>19</v>
      </c>
      <c r="X27" s="277">
        <f t="shared" ca="1" si="69"/>
        <v>1</v>
      </c>
      <c r="Y27" s="277"/>
      <c r="Z27" s="211">
        <f ca="1">SUM(Z21:Z26)</f>
        <v>19</v>
      </c>
      <c r="AA27" s="277">
        <f t="shared" ca="1" si="69"/>
        <v>1</v>
      </c>
      <c r="AB27" s="277"/>
      <c r="AC27" s="211">
        <f t="shared" ref="AC27:AF27" ca="1" si="70">SUM(AC21:AC26)</f>
        <v>20</v>
      </c>
      <c r="AD27" s="277">
        <f t="shared" ca="1" si="70"/>
        <v>1</v>
      </c>
      <c r="AE27" s="277"/>
      <c r="AF27" s="211">
        <f t="shared" ca="1" si="70"/>
        <v>19</v>
      </c>
      <c r="AG27" s="277">
        <f t="shared" ref="AG27" ca="1" si="71">SUM(AG21:AG26)</f>
        <v>0.99999999999999989</v>
      </c>
      <c r="AH27" s="277"/>
      <c r="AI27" s="211">
        <f ca="1">SUM(AI21:AI26)</f>
        <v>17</v>
      </c>
      <c r="AJ27" s="277">
        <f t="shared" ref="AJ27" ca="1" si="72">SUM(AJ21:AJ26)</f>
        <v>1</v>
      </c>
      <c r="AK27" s="277"/>
      <c r="AL27" s="211">
        <f ca="1">SUM(AL21:AL26)</f>
        <v>17</v>
      </c>
      <c r="AM27" s="277">
        <f ca="1">SUM(AM21:AM26)</f>
        <v>1</v>
      </c>
      <c r="AN27" s="277"/>
      <c r="AO27" s="211">
        <f ca="1">SUM(AO21:AO26)</f>
        <v>13</v>
      </c>
      <c r="AP27" s="277">
        <f ca="1">SUM(AP21:AP26)</f>
        <v>1</v>
      </c>
      <c r="AQ27" s="277"/>
      <c r="AR27" s="211">
        <f ca="1">SUM(AR21:AR26)</f>
        <v>13</v>
      </c>
      <c r="AS27" s="277">
        <f ca="1">SUM(AS21:AS26)</f>
        <v>1</v>
      </c>
      <c r="AT27" s="277"/>
      <c r="AU27" s="211">
        <f ca="1">SUM(AU21:AU26)</f>
        <v>12</v>
      </c>
      <c r="AV27" s="277">
        <f ca="1">SUM(AV21:AV26)</f>
        <v>1</v>
      </c>
      <c r="AW27" s="277"/>
      <c r="AX27" s="211">
        <f ca="1">SUM(AX21:AX26)</f>
        <v>14</v>
      </c>
      <c r="AY27" s="277">
        <f ca="1">SUM(AY21:AY26)</f>
        <v>1</v>
      </c>
      <c r="AZ27" s="277"/>
      <c r="BA27" s="211">
        <f ca="1">SUM(BA21:BA26)</f>
        <v>13</v>
      </c>
      <c r="BB27" s="277">
        <f ca="1">SUM(BB21:BB26)</f>
        <v>1</v>
      </c>
      <c r="BC27" s="277"/>
      <c r="BD27" s="211">
        <f ca="1">SUM(BD21:BD26)</f>
        <v>10</v>
      </c>
      <c r="BE27" s="277">
        <f ca="1">SUM(BE21:BE26)</f>
        <v>0.99999999999999989</v>
      </c>
      <c r="BF27" s="277"/>
      <c r="BG27" s="211">
        <f ca="1">SUM(BG21:BG26)</f>
        <v>10</v>
      </c>
      <c r="BH27" s="277">
        <f ca="1">SUM(BH21:BH26)</f>
        <v>1</v>
      </c>
      <c r="BI27" s="277"/>
      <c r="BJ27" s="289">
        <f ca="1">SUM(BJ21:BJ26)</f>
        <v>9</v>
      </c>
      <c r="BK27" s="295">
        <f ca="1">SUM(BK21:BK26)</f>
        <v>1</v>
      </c>
      <c r="BO27" s="189"/>
    </row>
    <row r="28" spans="3:86">
      <c r="C28" s="195"/>
      <c r="D28" s="195"/>
      <c r="E28" s="185"/>
      <c r="F28" s="278"/>
      <c r="G28" s="270"/>
      <c r="H28" s="185"/>
      <c r="I28" s="278"/>
      <c r="J28" s="270"/>
      <c r="K28" s="185"/>
      <c r="L28" s="278"/>
      <c r="M28" s="270"/>
      <c r="N28" s="185"/>
      <c r="O28" s="278"/>
      <c r="P28" s="278"/>
      <c r="Q28" s="185"/>
      <c r="R28" s="278"/>
      <c r="S28" s="278"/>
      <c r="T28" s="185"/>
      <c r="U28" s="278"/>
      <c r="V28" s="278"/>
      <c r="W28" s="185"/>
      <c r="X28" s="278"/>
      <c r="Y28" s="278"/>
      <c r="Z28" s="185"/>
      <c r="AA28" s="278"/>
      <c r="AB28" s="278"/>
      <c r="AC28" s="185"/>
      <c r="AD28" s="278"/>
      <c r="AE28" s="278"/>
      <c r="AF28" s="185"/>
      <c r="AG28" s="278"/>
      <c r="AH28" s="278"/>
      <c r="AI28" s="185"/>
      <c r="AJ28" s="278"/>
      <c r="AK28" s="278"/>
      <c r="AL28" s="185"/>
      <c r="AM28" s="278"/>
      <c r="AN28" s="278"/>
      <c r="AO28" s="185"/>
      <c r="AP28" s="278"/>
      <c r="AQ28" s="278"/>
      <c r="AR28" s="185"/>
      <c r="AS28" s="278"/>
      <c r="AT28" s="278"/>
      <c r="AU28" s="185"/>
      <c r="AV28" s="278"/>
      <c r="AW28" s="278"/>
      <c r="AX28" s="185"/>
      <c r="AY28" s="278"/>
      <c r="AZ28" s="278"/>
      <c r="BA28" s="185"/>
      <c r="BB28" s="278"/>
      <c r="BC28" s="278"/>
      <c r="BD28" s="185"/>
      <c r="BE28" s="278"/>
      <c r="BF28" s="278"/>
      <c r="BG28" s="185"/>
      <c r="BH28" s="278"/>
      <c r="BI28" s="278"/>
      <c r="BJ28" s="280"/>
      <c r="BK28" s="296"/>
    </row>
    <row r="29" spans="3:86">
      <c r="C29" s="195"/>
      <c r="D29" s="195"/>
      <c r="E29" s="185"/>
      <c r="F29" s="278"/>
      <c r="G29" s="270"/>
      <c r="H29" s="185"/>
      <c r="I29" s="278"/>
      <c r="J29" s="270"/>
      <c r="K29" s="185"/>
      <c r="L29" s="278"/>
      <c r="M29" s="270"/>
      <c r="N29" s="185"/>
      <c r="O29" s="278"/>
      <c r="P29" s="278"/>
      <c r="Q29" s="185"/>
      <c r="R29" s="278"/>
      <c r="S29" s="278"/>
      <c r="T29" s="185"/>
      <c r="U29" s="278"/>
      <c r="V29" s="278"/>
      <c r="W29" s="185"/>
      <c r="X29" s="278"/>
      <c r="Y29" s="278"/>
      <c r="Z29" s="185"/>
      <c r="AA29" s="278"/>
      <c r="AB29" s="278"/>
      <c r="AC29" s="185"/>
      <c r="AD29" s="278"/>
      <c r="AE29" s="278"/>
      <c r="AF29" s="185"/>
      <c r="AG29" s="278"/>
      <c r="AH29" s="278"/>
      <c r="AI29" s="185"/>
      <c r="AJ29" s="278"/>
      <c r="AK29" s="278"/>
      <c r="AL29" s="185"/>
      <c r="AM29" s="278"/>
      <c r="AN29" s="278"/>
      <c r="AO29" s="185"/>
      <c r="AP29" s="278"/>
      <c r="AQ29" s="278"/>
      <c r="AR29" s="185"/>
      <c r="AS29" s="278"/>
      <c r="AT29" s="278"/>
      <c r="AU29" s="185"/>
      <c r="AV29" s="278"/>
      <c r="AW29" s="278"/>
      <c r="AX29" s="185"/>
      <c r="AY29" s="278"/>
      <c r="AZ29" s="278"/>
      <c r="BA29" s="185"/>
      <c r="BB29" s="278"/>
      <c r="BC29" s="278"/>
      <c r="BD29" s="185"/>
      <c r="BE29" s="278"/>
      <c r="BF29" s="278"/>
      <c r="BG29" s="185"/>
      <c r="BH29" s="278"/>
      <c r="BI29" s="278"/>
      <c r="BJ29" s="280"/>
      <c r="BK29" s="296"/>
    </row>
    <row r="30" spans="3:86">
      <c r="C30" s="257"/>
      <c r="D30" s="257" t="s">
        <v>147</v>
      </c>
      <c r="E30" s="283"/>
      <c r="F30" s="279"/>
      <c r="G30" s="271"/>
      <c r="H30" s="283"/>
      <c r="I30" s="279"/>
      <c r="J30" s="271"/>
      <c r="K30" s="283"/>
      <c r="L30" s="279"/>
      <c r="M30" s="271"/>
      <c r="N30" s="283"/>
      <c r="O30" s="279"/>
      <c r="P30" s="279"/>
      <c r="Q30" s="283"/>
      <c r="R30" s="279"/>
      <c r="S30" s="279"/>
      <c r="T30" s="283"/>
      <c r="U30" s="279"/>
      <c r="V30" s="279"/>
      <c r="W30" s="284"/>
      <c r="X30" s="290"/>
      <c r="Y30" s="279"/>
      <c r="Z30" s="284"/>
      <c r="AA30" s="290"/>
      <c r="AB30" s="279"/>
      <c r="AC30" s="284"/>
      <c r="AD30" s="290"/>
      <c r="AE30" s="279"/>
      <c r="AF30" s="284"/>
      <c r="AG30" s="290"/>
      <c r="AH30" s="279"/>
      <c r="AI30" s="284"/>
      <c r="AJ30" s="290"/>
      <c r="AK30" s="279"/>
      <c r="AL30" s="284"/>
      <c r="AM30" s="290"/>
      <c r="AN30" s="279"/>
      <c r="AO30" s="284"/>
      <c r="AP30" s="290"/>
      <c r="AQ30" s="279"/>
      <c r="AR30" s="284"/>
      <c r="AS30" s="290"/>
      <c r="AT30" s="279"/>
      <c r="AU30" s="284"/>
      <c r="AV30" s="290"/>
      <c r="AW30" s="279"/>
      <c r="AX30" s="284"/>
      <c r="AY30" s="290"/>
      <c r="AZ30" s="279"/>
      <c r="BA30" s="284"/>
      <c r="BB30" s="290"/>
      <c r="BC30" s="279"/>
      <c r="BD30" s="284"/>
      <c r="BE30" s="290"/>
      <c r="BF30" s="290"/>
      <c r="BG30" s="284"/>
      <c r="BH30" s="290"/>
      <c r="BI30" s="290"/>
      <c r="BJ30" s="285"/>
      <c r="BK30" s="297"/>
    </row>
    <row r="31" spans="3:86">
      <c r="C31" s="259"/>
      <c r="D31" s="259" t="s">
        <v>137</v>
      </c>
      <c r="E31" s="213">
        <v>2</v>
      </c>
      <c r="F31" s="274">
        <v>0.14285714285714285</v>
      </c>
      <c r="G31" s="260"/>
      <c r="H31" s="213">
        <v>0</v>
      </c>
      <c r="I31" s="274">
        <v>0</v>
      </c>
      <c r="J31" s="318"/>
      <c r="K31" s="213">
        <v>0</v>
      </c>
      <c r="L31" s="274">
        <v>0</v>
      </c>
      <c r="M31" s="260"/>
      <c r="N31" s="213">
        <v>0</v>
      </c>
      <c r="O31" s="274">
        <f t="shared" ref="O31:O36" ca="1" si="73">N31/$N$37</f>
        <v>0</v>
      </c>
      <c r="P31" s="274"/>
      <c r="Q31" s="213">
        <v>1</v>
      </c>
      <c r="R31" s="274">
        <f t="shared" ref="R31:R36" ca="1" si="74">Q31/$Q$37</f>
        <v>9.0909090909090912E-2</v>
      </c>
      <c r="S31" s="274"/>
      <c r="T31" s="213">
        <v>0</v>
      </c>
      <c r="U31" s="274">
        <f t="shared" ref="U31:U36" ca="1" si="75">T31/$T$37</f>
        <v>0</v>
      </c>
      <c r="V31" s="274"/>
      <c r="W31" s="213">
        <v>0</v>
      </c>
      <c r="X31" s="274">
        <f t="shared" ref="X31:X36" ca="1" si="76">W31/$W$37</f>
        <v>0</v>
      </c>
      <c r="Y31" s="274"/>
      <c r="Z31" s="213">
        <v>0</v>
      </c>
      <c r="AA31" s="274">
        <f t="shared" ref="AA31:AA36" ca="1" si="77">Z31/Z$37</f>
        <v>0</v>
      </c>
      <c r="AB31" s="274"/>
      <c r="AC31" s="213">
        <f ca="1">Credit_2010Q4!$AD30</f>
        <v>0</v>
      </c>
      <c r="AD31" s="274">
        <f t="shared" ref="AD31:AD36" ca="1" si="78">AC31/AC$37</f>
        <v>0</v>
      </c>
      <c r="AE31" s="274"/>
      <c r="AF31" s="213">
        <f ca="1">Credit_2011Q4!$AD30</f>
        <v>0</v>
      </c>
      <c r="AG31" s="274">
        <f t="shared" ref="AG31:AG36" ca="1" si="79">AF31/AF$37</f>
        <v>0</v>
      </c>
      <c r="AH31" s="274"/>
      <c r="AI31" s="213">
        <f t="shared" ref="AI31:AI36" ca="1" si="80">INDIRECT( BP31 &amp; $BN31 )</f>
        <v>0</v>
      </c>
      <c r="AJ31" s="274">
        <f t="shared" ref="AJ31:AJ36" ca="1" si="81">AI31/AI$37</f>
        <v>0</v>
      </c>
      <c r="AK31" s="274"/>
      <c r="AL31" s="213">
        <f t="shared" ref="AL31:AL36" ca="1" si="82">INDIRECT( BR31 &amp; $BN31 )</f>
        <v>0</v>
      </c>
      <c r="AM31" s="274">
        <f t="shared" ref="AM31:AM36" ca="1" si="83">AL31/AL$37</f>
        <v>0</v>
      </c>
      <c r="AN31" s="274"/>
      <c r="AO31" s="213">
        <f ca="1">INDIRECT( BT31 &amp; $BN31 )</f>
        <v>0</v>
      </c>
      <c r="AP31" s="274">
        <f t="shared" ref="AP31:AP36" ca="1" si="84">AO31/AO$37</f>
        <v>0</v>
      </c>
      <c r="AQ31" s="274"/>
      <c r="AR31" s="213">
        <f t="shared" ref="AR31:AR36" ca="1" si="85">INDIRECT( BV31 &amp; $BN31 )</f>
        <v>0</v>
      </c>
      <c r="AS31" s="274">
        <f t="shared" ref="AS31:AS36" ca="1" si="86">AR31/AR$37</f>
        <v>0</v>
      </c>
      <c r="AT31" s="274"/>
      <c r="AU31" s="213">
        <f t="shared" ref="AU31:AU36" ca="1" si="87">INDIRECT( BX31 &amp; $BN31 )</f>
        <v>0</v>
      </c>
      <c r="AV31" s="274">
        <f t="shared" ref="AV31:AV36" ca="1" si="88">AU31/AU$37</f>
        <v>0</v>
      </c>
      <c r="AW31" s="274"/>
      <c r="AX31" s="213"/>
      <c r="AY31" s="274"/>
      <c r="AZ31" s="274"/>
      <c r="BA31" s="213"/>
      <c r="BB31" s="274"/>
      <c r="BC31" s="274"/>
      <c r="BD31" s="213"/>
      <c r="BE31" s="274"/>
      <c r="BF31" s="274"/>
      <c r="BG31" s="213"/>
      <c r="BH31" s="274"/>
      <c r="BI31" s="274"/>
      <c r="BJ31" s="286"/>
      <c r="BK31" s="326"/>
      <c r="BN31" s="187">
        <f ca="1">BN21</f>
        <v>8</v>
      </c>
      <c r="BO31" s="262" t="s">
        <v>148</v>
      </c>
      <c r="BP31" s="187" t="str">
        <f t="shared" ref="BP31:BP36" ca="1" si="89">BP$5 &amp; "!" &amp;$BO31</f>
        <v>'Credit_2012Q4'!u</v>
      </c>
      <c r="BR31" s="187" t="str">
        <f t="shared" ref="BR31:BR36" ca="1" si="90">BR$5 &amp; "!" &amp;$BO31</f>
        <v>'Credit_2013Q4'!u</v>
      </c>
      <c r="BT31" s="187" t="str">
        <f t="shared" ref="BT31:CH36" ca="1" si="91">BT$5 &amp; "!" &amp;$BO31</f>
        <v>'Credit_2014Q4'!u</v>
      </c>
      <c r="BV31" s="187" t="str">
        <f t="shared" ca="1" si="91"/>
        <v>'Credit_2015Q4'!u</v>
      </c>
      <c r="BX31" s="187" t="str">
        <f t="shared" ca="1" si="91"/>
        <v>'Credit_2016Q4'!u</v>
      </c>
      <c r="BZ31" s="187" t="str">
        <f t="shared" ca="1" si="91"/>
        <v>'Credit_2017Q4'!u</v>
      </c>
      <c r="CB31" s="187" t="str">
        <f t="shared" ca="1" si="91"/>
        <v>'Credit_2018Q4'!u</v>
      </c>
      <c r="CD31" s="187" t="str">
        <f t="shared" ca="1" si="91"/>
        <v>'Credit_2019Q4'!u</v>
      </c>
      <c r="CF31" s="187" t="str">
        <f t="shared" ca="1" si="91"/>
        <v>'Credit_2020Q4'!u</v>
      </c>
      <c r="CH31" s="187" t="str">
        <f t="shared" ca="1" si="91"/>
        <v>'Credit_2021Q4'!u</v>
      </c>
    </row>
    <row r="32" spans="3:86">
      <c r="C32" s="263"/>
      <c r="D32" s="263" t="s">
        <v>139</v>
      </c>
      <c r="E32" s="215">
        <v>1</v>
      </c>
      <c r="F32" s="275">
        <v>7.1428571428571425E-2</v>
      </c>
      <c r="G32" s="264"/>
      <c r="H32" s="215">
        <v>2</v>
      </c>
      <c r="I32" s="275">
        <v>0.13333333333333333</v>
      </c>
      <c r="J32" s="317"/>
      <c r="K32" s="215">
        <v>1</v>
      </c>
      <c r="L32" s="275">
        <v>9.0909090909090912E-2</v>
      </c>
      <c r="M32" s="264"/>
      <c r="N32" s="215">
        <v>1</v>
      </c>
      <c r="O32" s="275">
        <f t="shared" ca="1" si="73"/>
        <v>9.0909090909090912E-2</v>
      </c>
      <c r="P32" s="275"/>
      <c r="Q32" s="215">
        <v>0</v>
      </c>
      <c r="R32" s="275">
        <f t="shared" ca="1" si="74"/>
        <v>0</v>
      </c>
      <c r="S32" s="275"/>
      <c r="T32" s="215">
        <v>2</v>
      </c>
      <c r="U32" s="275">
        <f t="shared" ca="1" si="75"/>
        <v>0.22222222222222221</v>
      </c>
      <c r="V32" s="275"/>
      <c r="W32" s="215">
        <v>0</v>
      </c>
      <c r="X32" s="275">
        <f t="shared" ca="1" si="76"/>
        <v>0</v>
      </c>
      <c r="Y32" s="275"/>
      <c r="Z32" s="215">
        <v>0</v>
      </c>
      <c r="AA32" s="275">
        <f t="shared" ca="1" si="77"/>
        <v>0</v>
      </c>
      <c r="AB32" s="275"/>
      <c r="AC32" s="215">
        <f ca="1">Credit_2010Q4!$AD31</f>
        <v>0</v>
      </c>
      <c r="AD32" s="275">
        <f t="shared" ca="1" si="78"/>
        <v>0</v>
      </c>
      <c r="AE32" s="275"/>
      <c r="AF32" s="215">
        <f ca="1">Credit_2011Q4!$AD31</f>
        <v>0</v>
      </c>
      <c r="AG32" s="275">
        <f t="shared" ca="1" si="79"/>
        <v>0</v>
      </c>
      <c r="AH32" s="275"/>
      <c r="AI32" s="215">
        <f t="shared" ca="1" si="80"/>
        <v>0</v>
      </c>
      <c r="AJ32" s="275">
        <f t="shared" ca="1" si="81"/>
        <v>0</v>
      </c>
      <c r="AK32" s="275"/>
      <c r="AL32" s="215">
        <f t="shared" ca="1" si="82"/>
        <v>0</v>
      </c>
      <c r="AM32" s="275">
        <f t="shared" ca="1" si="83"/>
        <v>0</v>
      </c>
      <c r="AN32" s="275"/>
      <c r="AO32" s="215">
        <f t="shared" ref="AO32:AO36" ca="1" si="92">INDIRECT( BT32 &amp; $BN32 )</f>
        <v>0</v>
      </c>
      <c r="AP32" s="275">
        <f t="shared" ca="1" si="84"/>
        <v>0</v>
      </c>
      <c r="AQ32" s="275"/>
      <c r="AR32" s="215">
        <f t="shared" ca="1" si="85"/>
        <v>0</v>
      </c>
      <c r="AS32" s="275">
        <f t="shared" ca="1" si="86"/>
        <v>0</v>
      </c>
      <c r="AT32" s="275"/>
      <c r="AU32" s="215">
        <f t="shared" ca="1" si="87"/>
        <v>0</v>
      </c>
      <c r="AV32" s="275">
        <f t="shared" ca="1" si="88"/>
        <v>0</v>
      </c>
      <c r="AW32" s="275"/>
      <c r="AX32" s="215"/>
      <c r="AY32" s="275"/>
      <c r="AZ32" s="275"/>
      <c r="BA32" s="215"/>
      <c r="BB32" s="275"/>
      <c r="BC32" s="275"/>
      <c r="BD32" s="215"/>
      <c r="BE32" s="275"/>
      <c r="BF32" s="275"/>
      <c r="BG32" s="215"/>
      <c r="BH32" s="275"/>
      <c r="BI32" s="275"/>
      <c r="BJ32" s="287"/>
      <c r="BK32" s="327"/>
      <c r="BN32" s="187">
        <f t="shared" ref="BN32:BN36" ca="1" si="93">BN22</f>
        <v>9</v>
      </c>
      <c r="BO32" s="185" t="str">
        <f ca="1">BO31</f>
        <v>u</v>
      </c>
      <c r="BP32" s="187" t="str">
        <f t="shared" ca="1" si="89"/>
        <v>'Credit_2012Q4'!u</v>
      </c>
      <c r="BR32" s="187" t="str">
        <f t="shared" ca="1" si="90"/>
        <v>'Credit_2013Q4'!u</v>
      </c>
      <c r="BT32" s="187" t="str">
        <f t="shared" ca="1" si="91"/>
        <v>'Credit_2014Q4'!u</v>
      </c>
      <c r="BV32" s="187" t="str">
        <f t="shared" ca="1" si="91"/>
        <v>'Credit_2015Q4'!u</v>
      </c>
      <c r="BX32" s="187" t="str">
        <f t="shared" ca="1" si="91"/>
        <v>'Credit_2016Q4'!u</v>
      </c>
      <c r="BZ32" s="187" t="str">
        <f t="shared" ca="1" si="91"/>
        <v>'Credit_2017Q4'!u</v>
      </c>
      <c r="CB32" s="187" t="str">
        <f t="shared" ca="1" si="91"/>
        <v>'Credit_2018Q4'!u</v>
      </c>
      <c r="CD32" s="187" t="str">
        <f t="shared" ca="1" si="91"/>
        <v>'Credit_2019Q4'!u</v>
      </c>
      <c r="CF32" s="187" t="str">
        <f t="shared" ca="1" si="91"/>
        <v>'Credit_2020Q4'!u</v>
      </c>
      <c r="CH32" s="187" t="str">
        <f t="shared" ca="1" si="91"/>
        <v>'Credit_2021Q4'!u</v>
      </c>
    </row>
    <row r="33" spans="3:86">
      <c r="C33" s="263"/>
      <c r="D33" s="263" t="s">
        <v>140</v>
      </c>
      <c r="E33" s="215">
        <v>2</v>
      </c>
      <c r="F33" s="275">
        <v>0.14285714285714285</v>
      </c>
      <c r="G33" s="264"/>
      <c r="H33" s="215">
        <v>4</v>
      </c>
      <c r="I33" s="275">
        <v>0.26666666666666666</v>
      </c>
      <c r="J33" s="317"/>
      <c r="K33" s="215">
        <v>3</v>
      </c>
      <c r="L33" s="275">
        <v>0.27272727272727271</v>
      </c>
      <c r="M33" s="264"/>
      <c r="N33" s="215">
        <v>2</v>
      </c>
      <c r="O33" s="275">
        <f t="shared" ca="1" si="73"/>
        <v>0.18181818181818182</v>
      </c>
      <c r="P33" s="275"/>
      <c r="Q33" s="215">
        <v>4</v>
      </c>
      <c r="R33" s="275">
        <f t="shared" ca="1" si="74"/>
        <v>0.36363636363636365</v>
      </c>
      <c r="S33" s="275"/>
      <c r="T33" s="215">
        <v>3</v>
      </c>
      <c r="U33" s="275">
        <f t="shared" ca="1" si="75"/>
        <v>0.33333333333333331</v>
      </c>
      <c r="V33" s="275"/>
      <c r="W33" s="215">
        <v>2</v>
      </c>
      <c r="X33" s="275">
        <f t="shared" ca="1" si="76"/>
        <v>0.2857142857142857</v>
      </c>
      <c r="Y33" s="275"/>
      <c r="Z33" s="215">
        <v>1</v>
      </c>
      <c r="AA33" s="275">
        <f t="shared" ca="1" si="77"/>
        <v>0.16666666666666666</v>
      </c>
      <c r="AB33" s="275"/>
      <c r="AC33" s="215">
        <f ca="1">Credit_2010Q4!$AD32</f>
        <v>2</v>
      </c>
      <c r="AD33" s="275">
        <f t="shared" ca="1" si="78"/>
        <v>0.4</v>
      </c>
      <c r="AE33" s="275"/>
      <c r="AF33" s="215">
        <f ca="1">Credit_2011Q4!$AD32</f>
        <v>1</v>
      </c>
      <c r="AG33" s="275">
        <f t="shared" ca="1" si="79"/>
        <v>0.25</v>
      </c>
      <c r="AH33" s="275"/>
      <c r="AI33" s="215">
        <f t="shared" ca="1" si="80"/>
        <v>1</v>
      </c>
      <c r="AJ33" s="275">
        <f t="shared" ca="1" si="81"/>
        <v>0.33333333333333331</v>
      </c>
      <c r="AK33" s="275"/>
      <c r="AL33" s="215">
        <f t="shared" ca="1" si="82"/>
        <v>1</v>
      </c>
      <c r="AM33" s="275">
        <f t="shared" ca="1" si="83"/>
        <v>0.5</v>
      </c>
      <c r="AN33" s="275"/>
      <c r="AO33" s="215">
        <f t="shared" ca="1" si="92"/>
        <v>1</v>
      </c>
      <c r="AP33" s="275">
        <f t="shared" ca="1" si="84"/>
        <v>0.5</v>
      </c>
      <c r="AQ33" s="275"/>
      <c r="AR33" s="215">
        <f t="shared" ca="1" si="85"/>
        <v>1</v>
      </c>
      <c r="AS33" s="275">
        <f t="shared" ca="1" si="86"/>
        <v>0.5</v>
      </c>
      <c r="AT33" s="275"/>
      <c r="AU33" s="215">
        <f t="shared" ca="1" si="87"/>
        <v>0</v>
      </c>
      <c r="AV33" s="275">
        <f t="shared" ca="1" si="88"/>
        <v>0</v>
      </c>
      <c r="AW33" s="275"/>
      <c r="AX33" s="215"/>
      <c r="AY33" s="275"/>
      <c r="AZ33" s="275"/>
      <c r="BA33" s="215"/>
      <c r="BB33" s="275"/>
      <c r="BC33" s="275"/>
      <c r="BD33" s="215"/>
      <c r="BE33" s="275"/>
      <c r="BF33" s="275"/>
      <c r="BG33" s="215"/>
      <c r="BH33" s="275"/>
      <c r="BI33" s="275"/>
      <c r="BJ33" s="287"/>
      <c r="BK33" s="327"/>
      <c r="BN33" s="187">
        <f t="shared" ca="1" si="93"/>
        <v>10</v>
      </c>
      <c r="BO33" s="185" t="str">
        <f t="shared" ref="BO33:BO36" ca="1" si="94">BO32</f>
        <v>u</v>
      </c>
      <c r="BP33" s="187" t="str">
        <f t="shared" ca="1" si="89"/>
        <v>'Credit_2012Q4'!u</v>
      </c>
      <c r="BR33" s="187" t="str">
        <f t="shared" ca="1" si="90"/>
        <v>'Credit_2013Q4'!u</v>
      </c>
      <c r="BT33" s="187" t="str">
        <f t="shared" ca="1" si="91"/>
        <v>'Credit_2014Q4'!u</v>
      </c>
      <c r="BV33" s="187" t="str">
        <f t="shared" ca="1" si="91"/>
        <v>'Credit_2015Q4'!u</v>
      </c>
      <c r="BX33" s="187" t="str">
        <f t="shared" ca="1" si="91"/>
        <v>'Credit_2016Q4'!u</v>
      </c>
      <c r="BZ33" s="187" t="str">
        <f t="shared" ca="1" si="91"/>
        <v>'Credit_2017Q4'!u</v>
      </c>
      <c r="CB33" s="187" t="str">
        <f t="shared" ca="1" si="91"/>
        <v>'Credit_2018Q4'!u</v>
      </c>
      <c r="CD33" s="187" t="str">
        <f t="shared" ca="1" si="91"/>
        <v>'Credit_2019Q4'!u</v>
      </c>
      <c r="CF33" s="187" t="str">
        <f t="shared" ca="1" si="91"/>
        <v>'Credit_2020Q4'!u</v>
      </c>
      <c r="CH33" s="187" t="str">
        <f t="shared" ca="1" si="91"/>
        <v>'Credit_2021Q4'!u</v>
      </c>
    </row>
    <row r="34" spans="3:86">
      <c r="C34" s="263"/>
      <c r="D34" s="263" t="s">
        <v>141</v>
      </c>
      <c r="E34" s="215">
        <v>7</v>
      </c>
      <c r="F34" s="275">
        <v>0.5</v>
      </c>
      <c r="G34" s="264"/>
      <c r="H34" s="215">
        <v>5</v>
      </c>
      <c r="I34" s="275">
        <v>0.33333333333333331</v>
      </c>
      <c r="J34" s="317"/>
      <c r="K34" s="215">
        <v>5</v>
      </c>
      <c r="L34" s="275">
        <v>0.45454545454545453</v>
      </c>
      <c r="M34" s="264"/>
      <c r="N34" s="215">
        <v>5</v>
      </c>
      <c r="O34" s="275">
        <f t="shared" ca="1" si="73"/>
        <v>0.45454545454545453</v>
      </c>
      <c r="P34" s="275"/>
      <c r="Q34" s="215">
        <v>3</v>
      </c>
      <c r="R34" s="275">
        <f t="shared" ca="1" si="74"/>
        <v>0.27272727272727271</v>
      </c>
      <c r="S34" s="275"/>
      <c r="T34" s="215">
        <v>1</v>
      </c>
      <c r="U34" s="275">
        <f t="shared" ca="1" si="75"/>
        <v>0.1111111111111111</v>
      </c>
      <c r="V34" s="275"/>
      <c r="W34" s="215">
        <v>2</v>
      </c>
      <c r="X34" s="275">
        <f t="shared" ca="1" si="76"/>
        <v>0.2857142857142857</v>
      </c>
      <c r="Y34" s="275"/>
      <c r="Z34" s="215">
        <v>2</v>
      </c>
      <c r="AA34" s="275">
        <f t="shared" ca="1" si="77"/>
        <v>0.33333333333333331</v>
      </c>
      <c r="AB34" s="275"/>
      <c r="AC34" s="215">
        <f ca="1">Credit_2010Q4!$AD33</f>
        <v>0</v>
      </c>
      <c r="AD34" s="275">
        <f t="shared" ca="1" si="78"/>
        <v>0</v>
      </c>
      <c r="AE34" s="275"/>
      <c r="AF34" s="215">
        <f ca="1">Credit_2011Q4!$AD33</f>
        <v>0</v>
      </c>
      <c r="AG34" s="275">
        <f t="shared" ca="1" si="79"/>
        <v>0</v>
      </c>
      <c r="AH34" s="275"/>
      <c r="AI34" s="215">
        <f t="shared" ca="1" si="80"/>
        <v>0</v>
      </c>
      <c r="AJ34" s="275">
        <f t="shared" ca="1" si="81"/>
        <v>0</v>
      </c>
      <c r="AK34" s="275"/>
      <c r="AL34" s="215">
        <f t="shared" ca="1" si="82"/>
        <v>0</v>
      </c>
      <c r="AM34" s="275">
        <f t="shared" ca="1" si="83"/>
        <v>0</v>
      </c>
      <c r="AN34" s="275"/>
      <c r="AO34" s="215">
        <f t="shared" ca="1" si="92"/>
        <v>0</v>
      </c>
      <c r="AP34" s="275">
        <f t="shared" ca="1" si="84"/>
        <v>0</v>
      </c>
      <c r="AQ34" s="275"/>
      <c r="AR34" s="215">
        <f t="shared" ca="1" si="85"/>
        <v>0</v>
      </c>
      <c r="AS34" s="275">
        <f t="shared" ca="1" si="86"/>
        <v>0</v>
      </c>
      <c r="AT34" s="275"/>
      <c r="AU34" s="215">
        <f t="shared" ca="1" si="87"/>
        <v>1</v>
      </c>
      <c r="AV34" s="275">
        <f t="shared" ca="1" si="88"/>
        <v>0.5</v>
      </c>
      <c r="AW34" s="275"/>
      <c r="AX34" s="215"/>
      <c r="AY34" s="275"/>
      <c r="AZ34" s="275"/>
      <c r="BA34" s="215"/>
      <c r="BB34" s="275"/>
      <c r="BC34" s="275"/>
      <c r="BD34" s="215"/>
      <c r="BE34" s="275"/>
      <c r="BF34" s="275"/>
      <c r="BG34" s="215"/>
      <c r="BH34" s="275"/>
      <c r="BI34" s="275"/>
      <c r="BJ34" s="287"/>
      <c r="BK34" s="327"/>
      <c r="BN34" s="187">
        <f t="shared" ca="1" si="93"/>
        <v>11</v>
      </c>
      <c r="BO34" s="185" t="str">
        <f t="shared" ca="1" si="94"/>
        <v>u</v>
      </c>
      <c r="BP34" s="187" t="str">
        <f t="shared" ca="1" si="89"/>
        <v>'Credit_2012Q4'!u</v>
      </c>
      <c r="BR34" s="187" t="str">
        <f t="shared" ca="1" si="90"/>
        <v>'Credit_2013Q4'!u</v>
      </c>
      <c r="BT34" s="187" t="str">
        <f t="shared" ca="1" si="91"/>
        <v>'Credit_2014Q4'!u</v>
      </c>
      <c r="BV34" s="187" t="str">
        <f t="shared" ca="1" si="91"/>
        <v>'Credit_2015Q4'!u</v>
      </c>
      <c r="BX34" s="187" t="str">
        <f t="shared" ca="1" si="91"/>
        <v>'Credit_2016Q4'!u</v>
      </c>
      <c r="BZ34" s="187" t="str">
        <f t="shared" ca="1" si="91"/>
        <v>'Credit_2017Q4'!u</v>
      </c>
      <c r="CB34" s="187" t="str">
        <f t="shared" ca="1" si="91"/>
        <v>'Credit_2018Q4'!u</v>
      </c>
      <c r="CD34" s="187" t="str">
        <f t="shared" ca="1" si="91"/>
        <v>'Credit_2019Q4'!u</v>
      </c>
      <c r="CF34" s="187" t="str">
        <f t="shared" ca="1" si="91"/>
        <v>'Credit_2020Q4'!u</v>
      </c>
      <c r="CH34" s="187" t="str">
        <f t="shared" ca="1" si="91"/>
        <v>'Credit_2021Q4'!u</v>
      </c>
    </row>
    <row r="35" spans="3:86">
      <c r="C35" s="263"/>
      <c r="D35" s="263" t="s">
        <v>142</v>
      </c>
      <c r="E35" s="215">
        <v>0</v>
      </c>
      <c r="F35" s="275">
        <v>0</v>
      </c>
      <c r="G35" s="264"/>
      <c r="H35" s="215">
        <v>2</v>
      </c>
      <c r="I35" s="275">
        <v>0.13333333333333333</v>
      </c>
      <c r="J35" s="317"/>
      <c r="K35" s="215">
        <v>1</v>
      </c>
      <c r="L35" s="275">
        <v>9.0909090909090912E-2</v>
      </c>
      <c r="M35" s="264"/>
      <c r="N35" s="215">
        <v>2</v>
      </c>
      <c r="O35" s="275">
        <f t="shared" ca="1" si="73"/>
        <v>0.18181818181818182</v>
      </c>
      <c r="P35" s="275"/>
      <c r="Q35" s="215">
        <v>2</v>
      </c>
      <c r="R35" s="275">
        <f t="shared" ca="1" si="74"/>
        <v>0.18181818181818182</v>
      </c>
      <c r="S35" s="275"/>
      <c r="T35" s="215">
        <v>2</v>
      </c>
      <c r="U35" s="275">
        <f t="shared" ca="1" si="75"/>
        <v>0.22222222222222221</v>
      </c>
      <c r="V35" s="275"/>
      <c r="W35" s="215">
        <v>2</v>
      </c>
      <c r="X35" s="275">
        <f t="shared" ca="1" si="76"/>
        <v>0.2857142857142857</v>
      </c>
      <c r="Y35" s="275"/>
      <c r="Z35" s="215">
        <v>2</v>
      </c>
      <c r="AA35" s="275">
        <f t="shared" ca="1" si="77"/>
        <v>0.33333333333333331</v>
      </c>
      <c r="AB35" s="275"/>
      <c r="AC35" s="215">
        <f ca="1">Credit_2010Q4!$AD34</f>
        <v>2</v>
      </c>
      <c r="AD35" s="275">
        <f t="shared" ca="1" si="78"/>
        <v>0.4</v>
      </c>
      <c r="AE35" s="275"/>
      <c r="AF35" s="215">
        <f ca="1">Credit_2011Q4!$AD34</f>
        <v>2</v>
      </c>
      <c r="AG35" s="275">
        <f t="shared" ca="1" si="79"/>
        <v>0.5</v>
      </c>
      <c r="AH35" s="275"/>
      <c r="AI35" s="215">
        <f t="shared" ca="1" si="80"/>
        <v>1</v>
      </c>
      <c r="AJ35" s="275">
        <f t="shared" ca="1" si="81"/>
        <v>0.33333333333333331</v>
      </c>
      <c r="AK35" s="275"/>
      <c r="AL35" s="215">
        <f t="shared" ca="1" si="82"/>
        <v>0</v>
      </c>
      <c r="AM35" s="275">
        <f t="shared" ca="1" si="83"/>
        <v>0</v>
      </c>
      <c r="AN35" s="275"/>
      <c r="AO35" s="215">
        <f t="shared" ca="1" si="92"/>
        <v>1</v>
      </c>
      <c r="AP35" s="275">
        <f t="shared" ca="1" si="84"/>
        <v>0.5</v>
      </c>
      <c r="AQ35" s="275"/>
      <c r="AR35" s="215">
        <f t="shared" ca="1" si="85"/>
        <v>1</v>
      </c>
      <c r="AS35" s="275">
        <f t="shared" ca="1" si="86"/>
        <v>0.5</v>
      </c>
      <c r="AT35" s="275"/>
      <c r="AU35" s="215">
        <f t="shared" ca="1" si="87"/>
        <v>1</v>
      </c>
      <c r="AV35" s="275">
        <f t="shared" ca="1" si="88"/>
        <v>0.5</v>
      </c>
      <c r="AW35" s="275"/>
      <c r="AX35" s="215"/>
      <c r="AY35" s="275"/>
      <c r="AZ35" s="275"/>
      <c r="BA35" s="215"/>
      <c r="BB35" s="275"/>
      <c r="BC35" s="275"/>
      <c r="BD35" s="215"/>
      <c r="BE35" s="275"/>
      <c r="BF35" s="275"/>
      <c r="BG35" s="215"/>
      <c r="BH35" s="275"/>
      <c r="BI35" s="275"/>
      <c r="BJ35" s="287"/>
      <c r="BK35" s="327"/>
      <c r="BN35" s="187">
        <f t="shared" ca="1" si="93"/>
        <v>12</v>
      </c>
      <c r="BO35" s="185" t="str">
        <f t="shared" ca="1" si="94"/>
        <v>u</v>
      </c>
      <c r="BP35" s="187" t="str">
        <f t="shared" ca="1" si="89"/>
        <v>'Credit_2012Q4'!u</v>
      </c>
      <c r="BR35" s="187" t="str">
        <f t="shared" ca="1" si="90"/>
        <v>'Credit_2013Q4'!u</v>
      </c>
      <c r="BT35" s="187" t="str">
        <f t="shared" ca="1" si="91"/>
        <v>'Credit_2014Q4'!u</v>
      </c>
      <c r="BV35" s="187" t="str">
        <f t="shared" ca="1" si="91"/>
        <v>'Credit_2015Q4'!u</v>
      </c>
      <c r="BX35" s="187" t="str">
        <f t="shared" ca="1" si="91"/>
        <v>'Credit_2016Q4'!u</v>
      </c>
      <c r="BZ35" s="187" t="str">
        <f t="shared" ca="1" si="91"/>
        <v>'Credit_2017Q4'!u</v>
      </c>
      <c r="CB35" s="187" t="str">
        <f t="shared" ca="1" si="91"/>
        <v>'Credit_2018Q4'!u</v>
      </c>
      <c r="CD35" s="187" t="str">
        <f t="shared" ca="1" si="91"/>
        <v>'Credit_2019Q4'!u</v>
      </c>
      <c r="CF35" s="187" t="str">
        <f t="shared" ca="1" si="91"/>
        <v>'Credit_2020Q4'!u</v>
      </c>
      <c r="CH35" s="187" t="str">
        <f t="shared" ca="1" si="91"/>
        <v>'Credit_2021Q4'!u</v>
      </c>
    </row>
    <row r="36" spans="3:86">
      <c r="C36" s="265"/>
      <c r="D36" s="265" t="s">
        <v>143</v>
      </c>
      <c r="E36" s="217">
        <v>2</v>
      </c>
      <c r="F36" s="276">
        <v>0.14285714285714285</v>
      </c>
      <c r="G36" s="266"/>
      <c r="H36" s="217">
        <v>2</v>
      </c>
      <c r="I36" s="276">
        <v>0.13333333333333333</v>
      </c>
      <c r="J36" s="267"/>
      <c r="K36" s="217">
        <v>1</v>
      </c>
      <c r="L36" s="276">
        <v>9.0909090909090912E-2</v>
      </c>
      <c r="M36" s="266"/>
      <c r="N36" s="217">
        <v>1</v>
      </c>
      <c r="O36" s="276">
        <f t="shared" ca="1" si="73"/>
        <v>9.0909090909090912E-2</v>
      </c>
      <c r="P36" s="276"/>
      <c r="Q36" s="217">
        <v>1</v>
      </c>
      <c r="R36" s="276">
        <f t="shared" ca="1" si="74"/>
        <v>9.0909090909090912E-2</v>
      </c>
      <c r="S36" s="276"/>
      <c r="T36" s="217">
        <v>1</v>
      </c>
      <c r="U36" s="276">
        <f t="shared" ca="1" si="75"/>
        <v>0.1111111111111111</v>
      </c>
      <c r="V36" s="276"/>
      <c r="W36" s="217">
        <v>1</v>
      </c>
      <c r="X36" s="276">
        <f t="shared" ca="1" si="76"/>
        <v>0.14285714285714285</v>
      </c>
      <c r="Y36" s="276"/>
      <c r="Z36" s="217">
        <v>1</v>
      </c>
      <c r="AA36" s="276">
        <f t="shared" ca="1" si="77"/>
        <v>0.16666666666666666</v>
      </c>
      <c r="AB36" s="276"/>
      <c r="AC36" s="217">
        <f ca="1">Credit_2010Q4!$AD35</f>
        <v>1</v>
      </c>
      <c r="AD36" s="276">
        <f t="shared" ca="1" si="78"/>
        <v>0.2</v>
      </c>
      <c r="AE36" s="276"/>
      <c r="AF36" s="217">
        <f ca="1">Credit_2011Q4!$AD35</f>
        <v>1</v>
      </c>
      <c r="AG36" s="276">
        <f t="shared" ca="1" si="79"/>
        <v>0.25</v>
      </c>
      <c r="AH36" s="276"/>
      <c r="AI36" s="217">
        <f t="shared" ca="1" si="80"/>
        <v>1</v>
      </c>
      <c r="AJ36" s="276">
        <f t="shared" ca="1" si="81"/>
        <v>0.33333333333333331</v>
      </c>
      <c r="AK36" s="276"/>
      <c r="AL36" s="217">
        <f t="shared" ca="1" si="82"/>
        <v>1</v>
      </c>
      <c r="AM36" s="276">
        <f t="shared" ca="1" si="83"/>
        <v>0.5</v>
      </c>
      <c r="AN36" s="276"/>
      <c r="AO36" s="217">
        <f t="shared" ca="1" si="92"/>
        <v>0</v>
      </c>
      <c r="AP36" s="276">
        <f t="shared" ca="1" si="84"/>
        <v>0</v>
      </c>
      <c r="AQ36" s="276"/>
      <c r="AR36" s="217">
        <f t="shared" ca="1" si="85"/>
        <v>0</v>
      </c>
      <c r="AS36" s="276">
        <f t="shared" ca="1" si="86"/>
        <v>0</v>
      </c>
      <c r="AT36" s="276"/>
      <c r="AU36" s="217">
        <f t="shared" ca="1" si="87"/>
        <v>0</v>
      </c>
      <c r="AV36" s="276">
        <f t="shared" ca="1" si="88"/>
        <v>0</v>
      </c>
      <c r="AW36" s="276"/>
      <c r="AX36" s="217"/>
      <c r="AY36" s="276"/>
      <c r="AZ36" s="276"/>
      <c r="BA36" s="217"/>
      <c r="BB36" s="276"/>
      <c r="BC36" s="276"/>
      <c r="BD36" s="217"/>
      <c r="BE36" s="276"/>
      <c r="BF36" s="276"/>
      <c r="BG36" s="217"/>
      <c r="BH36" s="276"/>
      <c r="BI36" s="276"/>
      <c r="BJ36" s="288"/>
      <c r="BK36" s="328"/>
      <c r="BN36" s="187">
        <f t="shared" ca="1" si="93"/>
        <v>13</v>
      </c>
      <c r="BO36" s="185" t="str">
        <f t="shared" ca="1" si="94"/>
        <v>u</v>
      </c>
      <c r="BP36" s="187" t="str">
        <f t="shared" ca="1" si="89"/>
        <v>'Credit_2012Q4'!u</v>
      </c>
      <c r="BR36" s="187" t="str">
        <f t="shared" ca="1" si="90"/>
        <v>'Credit_2013Q4'!u</v>
      </c>
      <c r="BT36" s="187" t="str">
        <f t="shared" ca="1" si="91"/>
        <v>'Credit_2014Q4'!u</v>
      </c>
      <c r="BV36" s="187" t="str">
        <f t="shared" ca="1" si="91"/>
        <v>'Credit_2015Q4'!u</v>
      </c>
      <c r="BX36" s="187" t="str">
        <f t="shared" ca="1" si="91"/>
        <v>'Credit_2016Q4'!u</v>
      </c>
      <c r="BZ36" s="187" t="str">
        <f t="shared" ca="1" si="91"/>
        <v>'Credit_2017Q4'!u</v>
      </c>
      <c r="CB36" s="187" t="str">
        <f t="shared" ca="1" si="91"/>
        <v>'Credit_2018Q4'!u</v>
      </c>
      <c r="CD36" s="187" t="str">
        <f t="shared" ca="1" si="91"/>
        <v>'Credit_2019Q4'!u</v>
      </c>
      <c r="CF36" s="187" t="str">
        <f t="shared" ca="1" si="91"/>
        <v>'Credit_2020Q4'!u</v>
      </c>
      <c r="CH36" s="187" t="str">
        <f t="shared" ca="1" si="91"/>
        <v>'Credit_2021Q4'!u</v>
      </c>
    </row>
    <row r="37" spans="3:86" s="250" customFormat="1">
      <c r="C37" s="268"/>
      <c r="D37" s="268" t="s">
        <v>144</v>
      </c>
      <c r="E37" s="211">
        <f t="shared" ref="E37:AA37" ca="1" si="95">SUM(E31:E36)</f>
        <v>14</v>
      </c>
      <c r="F37" s="277">
        <f t="shared" ca="1" si="95"/>
        <v>1</v>
      </c>
      <c r="G37" s="269"/>
      <c r="H37" s="211">
        <f t="shared" ca="1" si="95"/>
        <v>15</v>
      </c>
      <c r="I37" s="277">
        <f t="shared" ca="1" si="95"/>
        <v>1</v>
      </c>
      <c r="J37" s="269"/>
      <c r="K37" s="211">
        <f t="shared" ca="1" si="95"/>
        <v>11</v>
      </c>
      <c r="L37" s="277">
        <f t="shared" ca="1" si="95"/>
        <v>1</v>
      </c>
      <c r="M37" s="269"/>
      <c r="N37" s="211">
        <f ca="1">SUM(N31:N36)</f>
        <v>11</v>
      </c>
      <c r="O37" s="277">
        <f ca="1">SUM(O31:O36)</f>
        <v>1</v>
      </c>
      <c r="P37" s="277"/>
      <c r="Q37" s="211">
        <f ca="1">SUM(Q31:Q36)</f>
        <v>11</v>
      </c>
      <c r="R37" s="277">
        <f t="shared" ca="1" si="95"/>
        <v>1</v>
      </c>
      <c r="S37" s="277"/>
      <c r="T37" s="211">
        <f ca="1">SUM(T31:T36)</f>
        <v>9</v>
      </c>
      <c r="U37" s="277">
        <f t="shared" ca="1" si="95"/>
        <v>1</v>
      </c>
      <c r="V37" s="277"/>
      <c r="W37" s="211">
        <f ca="1">SUM(W31:W36)</f>
        <v>7</v>
      </c>
      <c r="X37" s="277">
        <f t="shared" ca="1" si="95"/>
        <v>1</v>
      </c>
      <c r="Y37" s="277"/>
      <c r="Z37" s="211">
        <f ca="1">SUM(Z31:Z36)</f>
        <v>6</v>
      </c>
      <c r="AA37" s="277">
        <f t="shared" ca="1" si="95"/>
        <v>0.99999999999999989</v>
      </c>
      <c r="AB37" s="277"/>
      <c r="AC37" s="211">
        <f t="shared" ref="AC37:AF37" ca="1" si="96">SUM(AC31:AC36)</f>
        <v>5</v>
      </c>
      <c r="AD37" s="277">
        <f t="shared" ca="1" si="96"/>
        <v>1</v>
      </c>
      <c r="AE37" s="277"/>
      <c r="AF37" s="211">
        <f t="shared" ca="1" si="96"/>
        <v>4</v>
      </c>
      <c r="AG37" s="277">
        <f t="shared" ref="AG37" ca="1" si="97">SUM(AG31:AG36)</f>
        <v>1</v>
      </c>
      <c r="AH37" s="277"/>
      <c r="AI37" s="211">
        <f ca="1">SUM(AI31:AI36)</f>
        <v>3</v>
      </c>
      <c r="AJ37" s="277">
        <f t="shared" ref="AJ37" ca="1" si="98">SUM(AJ31:AJ36)</f>
        <v>1</v>
      </c>
      <c r="AK37" s="277"/>
      <c r="AL37" s="211">
        <f ca="1">SUM(AL31:AL36)</f>
        <v>2</v>
      </c>
      <c r="AM37" s="277">
        <f ca="1">SUM(AM31:AM36)</f>
        <v>1</v>
      </c>
      <c r="AN37" s="277"/>
      <c r="AO37" s="211">
        <f ca="1">SUM(AO31:AO36)</f>
        <v>2</v>
      </c>
      <c r="AP37" s="277">
        <f ca="1">SUM(AP31:AP36)</f>
        <v>1</v>
      </c>
      <c r="AQ37" s="277"/>
      <c r="AR37" s="211">
        <f ca="1">SUM(AR31:AR36)</f>
        <v>2</v>
      </c>
      <c r="AS37" s="277">
        <f ca="1">SUM(AS31:AS36)</f>
        <v>1</v>
      </c>
      <c r="AT37" s="277"/>
      <c r="AU37" s="211">
        <f ca="1">SUM(AU31:AU36)</f>
        <v>2</v>
      </c>
      <c r="AV37" s="277">
        <f ca="1">SUM(AV31:AV36)</f>
        <v>1</v>
      </c>
      <c r="AW37" s="277"/>
      <c r="AX37" s="211"/>
      <c r="AY37" s="277"/>
      <c r="AZ37" s="277"/>
      <c r="BA37" s="211"/>
      <c r="BB37" s="277"/>
      <c r="BC37" s="277"/>
      <c r="BD37" s="211"/>
      <c r="BE37" s="277"/>
      <c r="BF37" s="277"/>
      <c r="BG37" s="211"/>
      <c r="BH37" s="277"/>
      <c r="BI37" s="277"/>
      <c r="BJ37" s="289"/>
      <c r="BK37" s="329"/>
      <c r="BO37" s="189"/>
    </row>
    <row r="38" spans="3:86">
      <c r="AA38" s="291"/>
    </row>
    <row r="40" spans="3:86">
      <c r="C40" s="203"/>
      <c r="D40" s="203" t="s">
        <v>149</v>
      </c>
    </row>
  </sheetData>
  <mergeCells count="21">
    <mergeCell ref="AU7:AV7"/>
    <mergeCell ref="AR7:AS7"/>
    <mergeCell ref="BJ7:BK7"/>
    <mergeCell ref="AO7:AP7"/>
    <mergeCell ref="AX7:AY7"/>
    <mergeCell ref="BA7:BB7"/>
    <mergeCell ref="BD7:BE7"/>
    <mergeCell ref="BG7:BH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-- 2013 Q2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Reg_Percent_2012</v>
      </c>
      <c r="G2" s="172" t="s">
        <v>405</v>
      </c>
      <c r="AJ2" s="173" t="str">
        <f>AJ4 &amp; AJ3</f>
        <v>'Credit_2013Q1'!a:a</v>
      </c>
      <c r="AK2" s="173" t="str">
        <f>AK4 &amp; AK3</f>
        <v>'Credit_2013Q1'!b1</v>
      </c>
      <c r="AL2" s="173" t="str">
        <f>AL4 &amp; AL3</f>
        <v>'Credit_2013Q1'!c1</v>
      </c>
    </row>
    <row r="3" spans="1:61" ht="18" hidden="1" outlineLevel="1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413</v>
      </c>
      <c r="AK4" s="169" t="str">
        <f>AJ4</f>
        <v>'Credit_2013Q1'!</v>
      </c>
      <c r="AL4" s="169" t="str">
        <f>AK4</f>
        <v>'Credit_2013Q1'!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(55)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53</v>
      </c>
      <c r="C6" s="249" t="s">
        <v>214</v>
      </c>
      <c r="D6" s="221"/>
      <c r="E6" s="222">
        <v>41274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65"/>
      <c r="G7" s="366">
        <f t="shared" ref="G7:G64" ca="1" si="1">IF( LEN( $D7 ) = 0, "", MATCH( $D7, INDIRECT( G$3 &amp; G$4 ), 0 ) )</f>
        <v>48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0"/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3.6363636363636362E-2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9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0"/>
        <v>MR</v>
      </c>
      <c r="F9" s="365"/>
      <c r="G9" s="366">
        <f t="shared" ca="1" si="1"/>
        <v>13</v>
      </c>
      <c r="H9" s="367"/>
      <c r="I9" s="234"/>
      <c r="J9" s="215" t="s">
        <v>139</v>
      </c>
      <c r="K9" s="234"/>
      <c r="L9" s="215">
        <f t="shared" si="10"/>
        <v>11</v>
      </c>
      <c r="M9" s="216">
        <f t="shared" si="11"/>
        <v>0.2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68"/>
      <c r="AE9" s="184"/>
      <c r="AF9" s="169">
        <f t="shared" si="2"/>
        <v>0</v>
      </c>
      <c r="AG9" s="169">
        <f t="shared" ca="1" si="3"/>
        <v>1</v>
      </c>
      <c r="AH9" s="169" t="str">
        <f t="shared" ca="1" si="19"/>
        <v/>
      </c>
      <c r="AJ9" s="169">
        <f t="shared" ca="1" si="4"/>
        <v>18</v>
      </c>
      <c r="AK9" s="169" t="str">
        <f t="shared" ca="1" si="20"/>
        <v>BBB+</v>
      </c>
      <c r="AL9" s="169">
        <f t="shared" ca="1" si="20"/>
        <v>19</v>
      </c>
      <c r="AM9" s="169" t="str">
        <f t="shared" ca="1" si="5"/>
        <v>Change</v>
      </c>
      <c r="AQ9" s="207" t="s">
        <v>225</v>
      </c>
      <c r="AR9" s="207" t="s">
        <v>141</v>
      </c>
      <c r="AS9" s="207">
        <v>18</v>
      </c>
      <c r="AT9" s="207" t="s">
        <v>226</v>
      </c>
      <c r="AV9" s="168">
        <f t="shared" si="21"/>
        <v>24</v>
      </c>
      <c r="AW9" s="168">
        <f>COUNTIF( AV$7:AV9, AV9 )</f>
        <v>1</v>
      </c>
      <c r="AX9" s="208">
        <f t="shared" si="22"/>
        <v>24.1</v>
      </c>
      <c r="AY9" s="168">
        <f t="shared" si="23"/>
        <v>24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0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si="10"/>
        <v>11</v>
      </c>
      <c r="M10" s="216">
        <f t="shared" si="11"/>
        <v>0.2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11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24</v>
      </c>
      <c r="AW10" s="168">
        <f>COUNTIF( AV$7:AV10, AV10 )</f>
        <v>2</v>
      </c>
      <c r="AX10" s="208">
        <f t="shared" si="22"/>
        <v>24.2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9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0"/>
        <v>MR</v>
      </c>
      <c r="F11" s="365"/>
      <c r="G11" s="366">
        <f t="shared" ca="1" si="1"/>
        <v>17</v>
      </c>
      <c r="H11" s="367"/>
      <c r="I11" s="234"/>
      <c r="J11" s="215" t="s">
        <v>141</v>
      </c>
      <c r="K11" s="234"/>
      <c r="L11" s="215">
        <f t="shared" si="10"/>
        <v>20</v>
      </c>
      <c r="M11" s="216">
        <f t="shared" si="11"/>
        <v>0.36363636363636365</v>
      </c>
      <c r="N11" s="234"/>
      <c r="O11" s="215">
        <f t="shared" ca="1" si="12"/>
        <v>17</v>
      </c>
      <c r="P11" s="216">
        <f t="shared" ca="1" si="13"/>
        <v>0.47222222222222221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24</v>
      </c>
      <c r="AW11" s="168">
        <f>COUNTIF( AV$7:AV11, AV11 )</f>
        <v>3</v>
      </c>
      <c r="AX11" s="208">
        <f t="shared" si="22"/>
        <v>24.3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9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0"/>
        <v>R</v>
      </c>
      <c r="F12" s="365"/>
      <c r="G12" s="366">
        <f t="shared" ca="1" si="1"/>
        <v>29</v>
      </c>
      <c r="H12" s="367"/>
      <c r="I12" s="234"/>
      <c r="J12" s="215" t="s">
        <v>142</v>
      </c>
      <c r="K12" s="234"/>
      <c r="L12" s="215">
        <f t="shared" si="10"/>
        <v>7</v>
      </c>
      <c r="M12" s="216">
        <f t="shared" si="11"/>
        <v>0.12727272727272726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7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44</v>
      </c>
      <c r="AW12" s="168">
        <f>COUNTIF( AV$7:AV12, AV12 )</f>
        <v>1</v>
      </c>
      <c r="AX12" s="208">
        <f t="shared" si="22"/>
        <v>44.1</v>
      </c>
      <c r="AY12" s="168">
        <f t="shared" si="23"/>
        <v>44</v>
      </c>
      <c r="AZ12" s="169"/>
      <c r="BA12" s="169"/>
      <c r="BC12" s="168">
        <f t="shared" ca="1" si="24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0"/>
        <v>MR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10"/>
        <v>4</v>
      </c>
      <c r="M13" s="218">
        <f t="shared" si="11"/>
        <v>7.2727272727272724E-2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9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0"/>
        <v>R</v>
      </c>
      <c r="F14" s="365"/>
      <c r="G14" s="366">
        <f t="shared" ca="1" si="1"/>
        <v>34</v>
      </c>
      <c r="H14" s="367"/>
      <c r="I14" s="236"/>
      <c r="J14" s="211" t="s">
        <v>144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18.436363636363637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24</v>
      </c>
      <c r="AW14" s="168">
        <f>COUNTIF( AV$7:AV14, AV14 )</f>
        <v>4</v>
      </c>
      <c r="AX14" s="208">
        <f t="shared" si="22"/>
        <v>24.4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9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0"/>
        <v>MR</v>
      </c>
      <c r="F15" s="365"/>
      <c r="G15" s="366">
        <f t="shared" ca="1" si="1"/>
        <v>37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>
        <f t="shared" ca="1" si="3"/>
        <v>1</v>
      </c>
      <c r="AH15" s="169" t="str">
        <f t="shared" ca="1" si="19"/>
        <v/>
      </c>
      <c r="AJ15" s="169">
        <f t="shared" ca="1" si="4"/>
        <v>23</v>
      </c>
      <c r="AK15" s="169" t="str">
        <f t="shared" ca="1" si="20"/>
        <v>BBB+</v>
      </c>
      <c r="AL15" s="169">
        <f t="shared" ca="1" si="20"/>
        <v>19</v>
      </c>
      <c r="AM15" s="169" t="str">
        <f t="shared" ca="1" si="5"/>
        <v>Change</v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1"/>
        <v>24</v>
      </c>
      <c r="AW15" s="168">
        <f>COUNTIF( AV$7:AV15, AV15 )</f>
        <v>5</v>
      </c>
      <c r="AX15" s="208">
        <f t="shared" si="22"/>
        <v>24.5</v>
      </c>
      <c r="AY15" s="168">
        <f t="shared" si="23"/>
        <v>28</v>
      </c>
      <c r="AZ15" s="169"/>
      <c r="BA15" s="169"/>
      <c r="BC15" s="168">
        <f t="shared" ca="1" si="24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9">
      <c r="A16" s="223" t="s">
        <v>345</v>
      </c>
      <c r="B16" s="224" t="s">
        <v>139</v>
      </c>
      <c r="C16" s="224">
        <v>20</v>
      </c>
      <c r="D16" s="224" t="s">
        <v>346</v>
      </c>
      <c r="E16" s="225" t="str">
        <f t="shared" ca="1" si="0"/>
        <v>MR</v>
      </c>
      <c r="F16" s="365"/>
      <c r="G16" s="366">
        <f t="shared" ca="1" si="1"/>
        <v>53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18.327272727272728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18.25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14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14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VVC</v>
      </c>
    </row>
    <row r="17" spans="1:61" ht="13.9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0"/>
        <v>R</v>
      </c>
      <c r="F17" s="365"/>
      <c r="G17" s="366">
        <f t="shared" ca="1" si="1"/>
        <v>55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15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WEC</v>
      </c>
    </row>
    <row r="18" spans="1:61" ht="13.9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0"/>
        <v>R</v>
      </c>
      <c r="F18" s="365"/>
      <c r="G18" s="366">
        <f t="shared" ca="1" si="1"/>
        <v>56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16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5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XEL</v>
      </c>
    </row>
    <row r="19" spans="1:61" ht="13.9">
      <c r="A19" s="223" t="s">
        <v>217</v>
      </c>
      <c r="B19" s="224" t="s">
        <v>140</v>
      </c>
      <c r="C19" s="224">
        <v>19</v>
      </c>
      <c r="D19" s="224" t="s">
        <v>218</v>
      </c>
      <c r="E19" s="225" t="str">
        <f t="shared" ca="1" si="0"/>
        <v>R</v>
      </c>
      <c r="F19" s="365"/>
      <c r="G19" s="366">
        <f t="shared" ca="1" si="1"/>
        <v>7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17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13</v>
      </c>
      <c r="AW19" s="168">
        <f>COUNTIF( AV$7:AV19, AV19 )</f>
        <v>2</v>
      </c>
      <c r="AX19" s="208">
        <f t="shared" si="22"/>
        <v>13.2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ALE</v>
      </c>
    </row>
    <row r="20" spans="1:61" ht="13.9">
      <c r="A20" s="223" t="s">
        <v>261</v>
      </c>
      <c r="B20" s="224" t="s">
        <v>140</v>
      </c>
      <c r="C20" s="224">
        <v>19</v>
      </c>
      <c r="D20" s="224" t="s">
        <v>262</v>
      </c>
      <c r="E20" s="225" t="str">
        <f t="shared" ca="1" si="0"/>
        <v>R</v>
      </c>
      <c r="F20" s="365"/>
      <c r="G20" s="366">
        <f t="shared" ca="1" si="1"/>
        <v>18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13</v>
      </c>
      <c r="AW20" s="168">
        <f>COUNTIF( AV$7:AV20, AV20 )</f>
        <v>3</v>
      </c>
      <c r="AX20" s="208">
        <f t="shared" si="22"/>
        <v>13.3</v>
      </c>
      <c r="AY20" s="168">
        <f t="shared" si="23"/>
        <v>15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3.9">
      <c r="A21" s="223" t="s">
        <v>263</v>
      </c>
      <c r="B21" s="224" t="s">
        <v>140</v>
      </c>
      <c r="C21" s="224">
        <v>19</v>
      </c>
      <c r="D21" s="224" t="s">
        <v>264</v>
      </c>
      <c r="E21" s="225" t="str">
        <f t="shared" ca="1" si="0"/>
        <v>R</v>
      </c>
      <c r="F21" s="365"/>
      <c r="G21" s="366">
        <f t="shared" ca="1" si="1"/>
        <v>19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44</v>
      </c>
      <c r="AW21" s="168">
        <f>COUNTIF( AV$7:AV21, AV21 )</f>
        <v>2</v>
      </c>
      <c r="AX21" s="208">
        <f t="shared" si="22"/>
        <v>44.2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14</v>
      </c>
      <c r="BF21" s="173" t="str">
        <f t="shared" ca="1" si="8"/>
        <v>Duke Energy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DUK</v>
      </c>
    </row>
    <row r="22" spans="1:61" ht="13.9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65"/>
      <c r="G22" s="366">
        <f t="shared" ca="1" si="1"/>
        <v>30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24</v>
      </c>
      <c r="AW22" s="168">
        <f>COUNTIF( AV$7:AV22, AV22 )</f>
        <v>6</v>
      </c>
      <c r="AX22" s="208">
        <f t="shared" si="22"/>
        <v>24.6</v>
      </c>
      <c r="AY22" s="168">
        <f t="shared" si="23"/>
        <v>29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9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65"/>
      <c r="G23" s="366">
        <f t="shared" ca="1" si="1"/>
        <v>62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1"/>
        <v>24</v>
      </c>
      <c r="AW23" s="168">
        <f>COUNTIF( AV$7:AV23, AV23 )</f>
        <v>7</v>
      </c>
      <c r="AX23" s="208">
        <f t="shared" si="22"/>
        <v>24.7</v>
      </c>
      <c r="AY23" s="168">
        <f t="shared" si="23"/>
        <v>30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9">
      <c r="A24" s="223" t="s">
        <v>382</v>
      </c>
      <c r="B24" s="224" t="s">
        <v>140</v>
      </c>
      <c r="C24" s="224">
        <v>19</v>
      </c>
      <c r="D24" s="224" t="s">
        <v>383</v>
      </c>
      <c r="E24" s="225" t="str">
        <f t="shared" ca="1" si="0"/>
        <v>MR</v>
      </c>
      <c r="F24" s="365"/>
      <c r="G24" s="366">
        <f t="shared" ca="1" si="1"/>
        <v>39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3.9">
      <c r="A25" s="223" t="s">
        <v>281</v>
      </c>
      <c r="B25" s="224" t="s">
        <v>140</v>
      </c>
      <c r="C25" s="224">
        <v>19</v>
      </c>
      <c r="D25" s="224" t="s">
        <v>282</v>
      </c>
      <c r="E25" s="225" t="str">
        <f t="shared" ca="1" si="0"/>
        <v>R</v>
      </c>
      <c r="F25" s="365"/>
      <c r="G25" s="366">
        <f t="shared" ca="1" si="1"/>
        <v>41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24</v>
      </c>
      <c r="AW25" s="168">
        <f>COUNTIF( AV$7:AV25, AV25 )</f>
        <v>8</v>
      </c>
      <c r="AX25" s="208">
        <f t="shared" si="22"/>
        <v>24.8</v>
      </c>
      <c r="AY25" s="168">
        <f t="shared" si="23"/>
        <v>31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3.9">
      <c r="A26" s="223" t="s">
        <v>289</v>
      </c>
      <c r="B26" s="224" t="s">
        <v>140</v>
      </c>
      <c r="C26" s="224">
        <v>19</v>
      </c>
      <c r="D26" s="224" t="s">
        <v>290</v>
      </c>
      <c r="E26" s="225" t="str">
        <f t="shared" ca="1" si="0"/>
        <v>MR</v>
      </c>
      <c r="F26" s="365"/>
      <c r="G26" s="366">
        <f t="shared" ca="1" si="1"/>
        <v>45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9"/>
        <v/>
      </c>
      <c r="AJ26" s="169">
        <f t="shared" ca="1" si="4"/>
        <v>45</v>
      </c>
      <c r="AK26" s="169" t="str">
        <f t="shared" ca="1" si="20"/>
        <v>BBB</v>
      </c>
      <c r="AL26" s="169">
        <f t="shared" ca="1" si="20"/>
        <v>18</v>
      </c>
      <c r="AM26" s="169" t="str">
        <f t="shared" ca="1" si="5"/>
        <v>Change</v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24</v>
      </c>
      <c r="AW26" s="168">
        <f>COUNTIF( AV$7:AV26, AV26 )</f>
        <v>9</v>
      </c>
      <c r="AX26" s="208">
        <f t="shared" si="22"/>
        <v>24.9</v>
      </c>
      <c r="AY26" s="168">
        <f t="shared" si="23"/>
        <v>32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Public Service Enterprise Group Incorporated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PEG</v>
      </c>
    </row>
    <row r="27" spans="1:61" ht="13.9">
      <c r="A27" s="223" t="s">
        <v>347</v>
      </c>
      <c r="B27" s="224" t="s">
        <v>140</v>
      </c>
      <c r="C27" s="224">
        <v>19</v>
      </c>
      <c r="D27" s="224" t="s">
        <v>348</v>
      </c>
      <c r="E27" s="225" t="str">
        <f t="shared" ca="1" si="0"/>
        <v>MR</v>
      </c>
      <c r="F27" s="365"/>
      <c r="G27" s="366">
        <f t="shared" ca="1" si="1"/>
        <v>46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44</v>
      </c>
      <c r="AW27" s="168">
        <f>COUNTIF( AV$7:AV27, AV27 )</f>
        <v>3</v>
      </c>
      <c r="AX27" s="208">
        <f t="shared" si="22"/>
        <v>44.3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45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3.9">
      <c r="A28" s="223" t="s">
        <v>291</v>
      </c>
      <c r="B28" s="224" t="s">
        <v>140</v>
      </c>
      <c r="C28" s="224">
        <v>19</v>
      </c>
      <c r="D28" s="224" t="s">
        <v>292</v>
      </c>
      <c r="E28" s="225" t="str">
        <f t="shared" ca="1" si="0"/>
        <v>MR</v>
      </c>
      <c r="F28" s="365"/>
      <c r="G28" s="366">
        <f t="shared" ca="1" si="1"/>
        <v>47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24</v>
      </c>
      <c r="AW28" s="168">
        <f>COUNTIF( AV$7:AV28, AV28 )</f>
        <v>10</v>
      </c>
      <c r="AX28" s="208">
        <f t="shared" si="22"/>
        <v>25</v>
      </c>
      <c r="AY28" s="168">
        <f t="shared" si="23"/>
        <v>33</v>
      </c>
      <c r="AZ28" s="169"/>
      <c r="BA28" s="169"/>
      <c r="BC28" s="168">
        <f t="shared" ca="1" si="24"/>
        <v>22</v>
      </c>
      <c r="BD28" s="209">
        <f t="shared" ca="1" si="7"/>
        <v>46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3.9">
      <c r="A29" s="223" t="s">
        <v>369</v>
      </c>
      <c r="B29" s="224" t="s">
        <v>140</v>
      </c>
      <c r="C29" s="224">
        <v>19</v>
      </c>
      <c r="D29" s="224" t="s">
        <v>375</v>
      </c>
      <c r="E29" s="225" t="str">
        <f t="shared" ca="1" si="0"/>
        <v>R</v>
      </c>
      <c r="F29" s="365"/>
      <c r="G29" s="366">
        <f t="shared" ca="1" si="1"/>
        <v>49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44</v>
      </c>
      <c r="AW29" s="168">
        <f>COUNTIF( AV$7:AV29, AV29 )</f>
        <v>4</v>
      </c>
      <c r="AX29" s="208">
        <f t="shared" si="22"/>
        <v>44.4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3.9">
      <c r="A30" s="223" t="s">
        <v>225</v>
      </c>
      <c r="B30" s="224" t="s">
        <v>141</v>
      </c>
      <c r="C30" s="224">
        <v>18</v>
      </c>
      <c r="D30" s="224" t="s">
        <v>226</v>
      </c>
      <c r="E30" s="225" t="str">
        <f t="shared" ca="1" si="0"/>
        <v>R</v>
      </c>
      <c r="F30" s="365"/>
      <c r="G30" s="366">
        <f t="shared" ca="1" si="1"/>
        <v>9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24</v>
      </c>
      <c r="AW30" s="168">
        <f>COUNTIF( AV$7:AV30, AV30 )</f>
        <v>11</v>
      </c>
      <c r="AX30" s="208">
        <f t="shared" si="22"/>
        <v>25.1</v>
      </c>
      <c r="AY30" s="168">
        <f t="shared" si="23"/>
        <v>34</v>
      </c>
      <c r="AZ30" s="169"/>
      <c r="BA30" s="169"/>
      <c r="BC30" s="168">
        <f t="shared" ca="1" si="24"/>
        <v>24</v>
      </c>
      <c r="BD30" s="209">
        <f t="shared" ca="1" si="7"/>
        <v>3</v>
      </c>
      <c r="BF30" s="173" t="str">
        <f t="shared" ca="1" si="8"/>
        <v>Ameren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AEE</v>
      </c>
    </row>
    <row r="31" spans="1:61" ht="13.9">
      <c r="A31" s="223" t="s">
        <v>222</v>
      </c>
      <c r="B31" s="224" t="s">
        <v>141</v>
      </c>
      <c r="C31" s="224">
        <v>18</v>
      </c>
      <c r="D31" s="224" t="s">
        <v>223</v>
      </c>
      <c r="E31" s="225" t="str">
        <f t="shared" ca="1" si="0"/>
        <v>R</v>
      </c>
      <c r="F31" s="365"/>
      <c r="G31" s="366">
        <f t="shared" ca="1" si="1"/>
        <v>10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24</v>
      </c>
      <c r="AW31" s="168">
        <f>COUNTIF( AV$7:AV31, AV31 )</f>
        <v>12</v>
      </c>
      <c r="AX31" s="208">
        <f t="shared" si="22"/>
        <v>25.2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3.9">
      <c r="A32" s="223" t="s">
        <v>238</v>
      </c>
      <c r="B32" s="224" t="s">
        <v>141</v>
      </c>
      <c r="C32" s="224">
        <v>18</v>
      </c>
      <c r="D32" s="224" t="s">
        <v>239</v>
      </c>
      <c r="E32" s="225" t="str">
        <f t="shared" ca="1" si="0"/>
        <v>R</v>
      </c>
      <c r="F32" s="365"/>
      <c r="G32" s="366">
        <f t="shared" ca="1" si="1"/>
        <v>11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3.9">
      <c r="A33" s="223" t="s">
        <v>254</v>
      </c>
      <c r="B33" s="224" t="s">
        <v>141</v>
      </c>
      <c r="C33" s="224">
        <v>18</v>
      </c>
      <c r="D33" s="224" t="s">
        <v>378</v>
      </c>
      <c r="E33" s="225" t="str">
        <f t="shared" ca="1" si="0"/>
        <v>R</v>
      </c>
      <c r="F33" s="365"/>
      <c r="G33" s="366">
        <f t="shared" ca="1" si="1"/>
        <v>14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32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5</v>
      </c>
      <c r="AX33" s="208">
        <f t="shared" si="22"/>
        <v>44.5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3.9">
      <c r="A34" s="223" t="s">
        <v>256</v>
      </c>
      <c r="B34" s="224" t="s">
        <v>141</v>
      </c>
      <c r="C34" s="224">
        <v>18</v>
      </c>
      <c r="D34" s="224" t="s">
        <v>257</v>
      </c>
      <c r="E34" s="225" t="str">
        <f t="shared" ca="1" si="0"/>
        <v>R</v>
      </c>
      <c r="F34" s="365"/>
      <c r="G34" s="366">
        <f t="shared" ca="1" si="1"/>
        <v>15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13</v>
      </c>
      <c r="AW34" s="168">
        <f>COUNTIF( AV$7:AV34, AV34 )</f>
        <v>4</v>
      </c>
      <c r="AX34" s="208">
        <f t="shared" si="22"/>
        <v>13.4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9</v>
      </c>
      <c r="BF34" s="173" t="str">
        <f t="shared" ca="1" si="8"/>
        <v>CMS Energy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CMS</v>
      </c>
    </row>
    <row r="35" spans="1:61" ht="13.9">
      <c r="A35" s="223" t="s">
        <v>328</v>
      </c>
      <c r="B35" s="224" t="s">
        <v>141</v>
      </c>
      <c r="C35" s="224">
        <v>18</v>
      </c>
      <c r="D35" s="224" t="s">
        <v>331</v>
      </c>
      <c r="E35" s="225" t="str">
        <f t="shared" ca="1" si="0"/>
        <v>R</v>
      </c>
      <c r="F35" s="365"/>
      <c r="G35" s="366">
        <f t="shared" ca="1" si="1"/>
        <v>21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13</v>
      </c>
      <c r="AW35" s="168">
        <f>COUNTIF( AV$7:AV35, AV35 )</f>
        <v>5</v>
      </c>
      <c r="AX35" s="208">
        <f t="shared" si="22"/>
        <v>13.5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16</v>
      </c>
      <c r="BF35" s="173" t="str">
        <f t="shared" ca="1" si="8"/>
        <v>El Paso Electric Company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EE</v>
      </c>
    </row>
    <row r="36" spans="1:61" ht="13.9">
      <c r="A36" s="223" t="s">
        <v>367</v>
      </c>
      <c r="B36" s="224" t="s">
        <v>141</v>
      </c>
      <c r="C36" s="224">
        <v>18</v>
      </c>
      <c r="D36" s="224" t="s">
        <v>368</v>
      </c>
      <c r="E36" s="225" t="str">
        <f t="shared" ca="1" si="0"/>
        <v>R</v>
      </c>
      <c r="F36" s="365"/>
      <c r="G36" s="366">
        <f t="shared" ca="1" si="1"/>
        <v>22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7"/>
        <v>17</v>
      </c>
      <c r="BF36" s="173" t="str">
        <f t="shared" ca="1" si="8"/>
        <v>Empire District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EDE</v>
      </c>
    </row>
    <row r="37" spans="1:61" ht="13.9">
      <c r="A37" s="223" t="s">
        <v>267</v>
      </c>
      <c r="B37" s="224" t="s">
        <v>141</v>
      </c>
      <c r="C37" s="224">
        <v>18</v>
      </c>
      <c r="D37" s="224" t="s">
        <v>268</v>
      </c>
      <c r="E37" s="225" t="str">
        <f t="shared" ca="1" si="0"/>
        <v>R</v>
      </c>
      <c r="F37" s="365"/>
      <c r="G37" s="366">
        <f t="shared" ca="1" si="1"/>
        <v>23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44</v>
      </c>
      <c r="AW37" s="168">
        <f>COUNTIF( AV$7:AV37, AV37 )</f>
        <v>6</v>
      </c>
      <c r="AX37" s="208">
        <f t="shared" si="22"/>
        <v>44.6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19</v>
      </c>
      <c r="BF37" s="173" t="str">
        <f t="shared" ca="1" si="8"/>
        <v>Entergy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ETR</v>
      </c>
    </row>
    <row r="38" spans="1:61" ht="13.9">
      <c r="A38" s="223" t="s">
        <v>269</v>
      </c>
      <c r="B38" s="224" t="s">
        <v>141</v>
      </c>
      <c r="C38" s="224">
        <v>18</v>
      </c>
      <c r="D38" s="224" t="s">
        <v>270</v>
      </c>
      <c r="E38" s="225" t="str">
        <f t="shared" ca="1" si="0"/>
        <v>MR</v>
      </c>
      <c r="F38" s="365"/>
      <c r="G38" s="366">
        <f t="shared" ca="1" si="1"/>
        <v>24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7"/>
        <v>20</v>
      </c>
      <c r="BF38" s="173" t="str">
        <f t="shared" ca="1" si="8"/>
        <v>Exelon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EXC</v>
      </c>
    </row>
    <row r="39" spans="1:61" ht="13.9">
      <c r="A39" s="223" t="s">
        <v>352</v>
      </c>
      <c r="B39" s="224" t="s">
        <v>141</v>
      </c>
      <c r="C39" s="224">
        <v>18</v>
      </c>
      <c r="D39" s="224" t="s">
        <v>353</v>
      </c>
      <c r="E39" s="225" t="str">
        <f t="shared" ca="1" si="0"/>
        <v>R</v>
      </c>
      <c r="F39" s="365"/>
      <c r="G39" s="366">
        <f t="shared" ca="1" si="1"/>
        <v>26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24</v>
      </c>
      <c r="AW39" s="168">
        <f>COUNTIF( AV$7:AV39, AV39 )</f>
        <v>13</v>
      </c>
      <c r="AX39" s="208">
        <f t="shared" si="22"/>
        <v>25.3</v>
      </c>
      <c r="AY39" s="168">
        <f t="shared" si="23"/>
        <v>36</v>
      </c>
      <c r="AZ39" s="169"/>
      <c r="BA39" s="169"/>
      <c r="BC39" s="168">
        <f t="shared" ca="1" si="24"/>
        <v>33</v>
      </c>
      <c r="BD39" s="209">
        <f t="shared" ca="1" si="7"/>
        <v>22</v>
      </c>
      <c r="BF39" s="173" t="str">
        <f t="shared" ref="BF39:BF63" ca="1" si="25">OFFSET( AQ$6, $BD39, 0 )</f>
        <v>Great Plains Energy Inc.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GXP</v>
      </c>
    </row>
    <row r="40" spans="1:61" ht="13.9">
      <c r="A40" s="223" t="s">
        <v>387</v>
      </c>
      <c r="B40" s="224" t="s">
        <v>141</v>
      </c>
      <c r="C40" s="224">
        <v>18</v>
      </c>
      <c r="D40" s="224" t="s">
        <v>388</v>
      </c>
      <c r="E40" s="225" t="str">
        <f t="shared" ca="1" si="0"/>
        <v>R</v>
      </c>
      <c r="F40" s="365"/>
      <c r="G40" s="366">
        <f t="shared" ca="1" si="1"/>
        <v>58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142</v>
      </c>
      <c r="AS40" s="207">
        <v>17</v>
      </c>
      <c r="AT40" s="207" t="s">
        <v>412</v>
      </c>
      <c r="AV40" s="168">
        <f t="shared" si="21"/>
        <v>44</v>
      </c>
      <c r="AW40" s="168">
        <f>COUNTIF( AV$7:AV40, AV40 )</f>
        <v>7</v>
      </c>
      <c r="AX40" s="208">
        <f t="shared" si="22"/>
        <v>44.7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24</v>
      </c>
      <c r="BF40" s="173" t="str">
        <f t="shared" ca="1" si="25"/>
        <v>Iberdrola USA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**EAST</v>
      </c>
    </row>
    <row r="41" spans="1:61" ht="13.9">
      <c r="A41" s="223" t="s">
        <v>283</v>
      </c>
      <c r="B41" s="224" t="s">
        <v>141</v>
      </c>
      <c r="C41" s="224">
        <v>18</v>
      </c>
      <c r="D41" s="224" t="s">
        <v>284</v>
      </c>
      <c r="E41" s="225" t="str">
        <f t="shared" ca="1" si="0"/>
        <v>R</v>
      </c>
      <c r="F41" s="365"/>
      <c r="G41" s="366">
        <f t="shared" ca="1" si="1"/>
        <v>28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139</v>
      </c>
      <c r="AS41" s="207">
        <v>20</v>
      </c>
      <c r="AT41" s="207" t="s">
        <v>278</v>
      </c>
      <c r="AV41" s="168">
        <f t="shared" si="21"/>
        <v>2</v>
      </c>
      <c r="AW41" s="168">
        <f>COUNTIF( AV$7:AV41, AV41 )</f>
        <v>8</v>
      </c>
      <c r="AX41" s="208">
        <f t="shared" si="22"/>
        <v>2.8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7"/>
        <v>25</v>
      </c>
      <c r="BF41" s="173" t="str">
        <f t="shared" ca="1" si="25"/>
        <v>IDACORP, Inc.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IDA</v>
      </c>
    </row>
    <row r="42" spans="1:61" ht="13.9">
      <c r="A42" s="223" t="s">
        <v>297</v>
      </c>
      <c r="B42" s="224" t="s">
        <v>141</v>
      </c>
      <c r="C42" s="224">
        <v>18</v>
      </c>
      <c r="D42" s="224" t="s">
        <v>298</v>
      </c>
      <c r="E42" s="225" t="str">
        <f t="shared" ca="1" si="0"/>
        <v>R</v>
      </c>
      <c r="F42" s="365"/>
      <c r="G42" s="366">
        <f t="shared" ca="1" si="1"/>
        <v>35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141</v>
      </c>
      <c r="AS42" s="207">
        <v>18</v>
      </c>
      <c r="AT42" s="207" t="s">
        <v>300</v>
      </c>
      <c r="AV42" s="168">
        <f t="shared" si="21"/>
        <v>24</v>
      </c>
      <c r="AW42" s="168">
        <f>COUNTIF( AV$7:AV42, AV42 )</f>
        <v>14</v>
      </c>
      <c r="AX42" s="208">
        <f t="shared" si="22"/>
        <v>25.4</v>
      </c>
      <c r="AY42" s="168">
        <f t="shared" si="23"/>
        <v>37</v>
      </c>
      <c r="AZ42" s="169"/>
      <c r="BA42" s="169"/>
      <c r="BC42" s="168">
        <f t="shared" ca="1" si="24"/>
        <v>36</v>
      </c>
      <c r="BD42" s="209">
        <f t="shared" ca="1" si="7"/>
        <v>33</v>
      </c>
      <c r="BF42" s="173" t="str">
        <f t="shared" ca="1" si="25"/>
        <v>NorthWestern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NWE</v>
      </c>
    </row>
    <row r="43" spans="1:61" ht="13.9">
      <c r="A43" s="223" t="s">
        <v>299</v>
      </c>
      <c r="B43" s="224" t="s">
        <v>141</v>
      </c>
      <c r="C43" s="224">
        <v>18</v>
      </c>
      <c r="D43" s="224" t="s">
        <v>300</v>
      </c>
      <c r="E43" s="225" t="str">
        <f t="shared" ca="1" si="0"/>
        <v>MR</v>
      </c>
      <c r="F43" s="365"/>
      <c r="G43" s="366">
        <f t="shared" ca="1" si="1"/>
        <v>38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>
        <f t="shared" ca="1" si="3"/>
        <v>1</v>
      </c>
      <c r="AH43" s="169" t="str">
        <f t="shared" ca="1" si="19"/>
        <v/>
      </c>
      <c r="AJ43" s="169">
        <f t="shared" ca="1" si="4"/>
        <v>55</v>
      </c>
      <c r="AK43" s="169" t="str">
        <f t="shared" ca="1" si="20"/>
        <v>BBB-</v>
      </c>
      <c r="AL43" s="169">
        <f t="shared" ca="1" si="20"/>
        <v>17</v>
      </c>
      <c r="AM43" s="169" t="str">
        <f t="shared" ca="1" si="5"/>
        <v>Change</v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13</v>
      </c>
      <c r="AW43" s="168">
        <f>COUNTIF( AV$7:AV43, AV43 )</f>
        <v>6</v>
      </c>
      <c r="AX43" s="208">
        <f t="shared" si="22"/>
        <v>13.6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36</v>
      </c>
      <c r="BF43" s="173" t="str">
        <f t="shared" ca="1" si="25"/>
        <v>Otter Tail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OTTR</v>
      </c>
    </row>
    <row r="44" spans="1:61" ht="13.9">
      <c r="A44" s="223" t="s">
        <v>301</v>
      </c>
      <c r="B44" s="224" t="s">
        <v>141</v>
      </c>
      <c r="C44" s="224">
        <v>18</v>
      </c>
      <c r="D44" s="224" t="s">
        <v>302</v>
      </c>
      <c r="E44" s="225" t="str">
        <f t="shared" ca="1" si="0"/>
        <v>R</v>
      </c>
      <c r="F44" s="365"/>
      <c r="G44" s="366">
        <f t="shared" ca="1" si="1"/>
        <v>40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24</v>
      </c>
      <c r="AW44" s="168">
        <f>COUNTIF( AV$7:AV44, AV44 )</f>
        <v>15</v>
      </c>
      <c r="AX44" s="208">
        <f t="shared" si="22"/>
        <v>25.5</v>
      </c>
      <c r="AY44" s="168">
        <f t="shared" si="23"/>
        <v>38</v>
      </c>
      <c r="AZ44" s="169"/>
      <c r="BA44" s="169"/>
      <c r="BC44" s="168">
        <f t="shared" ca="1" si="24"/>
        <v>38</v>
      </c>
      <c r="BD44" s="209">
        <f t="shared" ca="1" si="7"/>
        <v>38</v>
      </c>
      <c r="BF44" s="173" t="str">
        <f t="shared" ca="1" si="25"/>
        <v>PG&amp;E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PCG</v>
      </c>
    </row>
    <row r="45" spans="1:61" ht="13.9">
      <c r="A45" s="223" t="s">
        <v>303</v>
      </c>
      <c r="B45" s="224" t="s">
        <v>141</v>
      </c>
      <c r="C45" s="224">
        <v>18</v>
      </c>
      <c r="D45" s="224" t="s">
        <v>304</v>
      </c>
      <c r="E45" s="225" t="str">
        <f t="shared" ca="1" si="0"/>
        <v>R</v>
      </c>
      <c r="F45" s="365"/>
      <c r="G45" s="366">
        <f t="shared" ca="1" si="1"/>
        <v>42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>
        <f t="shared" ca="1" si="3"/>
        <v>1</v>
      </c>
      <c r="AH45" s="169" t="str">
        <f t="shared" ca="1" si="19"/>
        <v/>
      </c>
      <c r="AJ45" s="169">
        <f t="shared" ca="1" si="4"/>
        <v>56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>Change</v>
      </c>
      <c r="AQ45" s="207" t="s">
        <v>281</v>
      </c>
      <c r="AR45" s="207" t="s">
        <v>140</v>
      </c>
      <c r="AS45" s="207">
        <v>19</v>
      </c>
      <c r="AT45" s="207" t="s">
        <v>282</v>
      </c>
      <c r="AV45" s="168">
        <f t="shared" si="21"/>
        <v>13</v>
      </c>
      <c r="AW45" s="168">
        <f>COUNTIF( AV$7:AV45, AV45 )</f>
        <v>7</v>
      </c>
      <c r="AX45" s="208">
        <f t="shared" si="22"/>
        <v>13.7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40</v>
      </c>
      <c r="BF45" s="173" t="str">
        <f t="shared" ca="1" si="25"/>
        <v>PNM Resources,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PNM</v>
      </c>
    </row>
    <row r="46" spans="1:61" ht="13.9">
      <c r="A46" s="223" t="s">
        <v>285</v>
      </c>
      <c r="B46" s="224" t="s">
        <v>141</v>
      </c>
      <c r="C46" s="224">
        <v>18</v>
      </c>
      <c r="D46" s="224" t="s">
        <v>286</v>
      </c>
      <c r="E46" s="225" t="str">
        <f t="shared" ca="1" si="0"/>
        <v>R</v>
      </c>
      <c r="F46" s="365"/>
      <c r="G46" s="366">
        <f t="shared" ca="1" si="1"/>
        <v>43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303</v>
      </c>
      <c r="AR46" s="207" t="s">
        <v>141</v>
      </c>
      <c r="AS46" s="207">
        <v>18</v>
      </c>
      <c r="AT46" s="207" t="s">
        <v>304</v>
      </c>
      <c r="AV46" s="168">
        <f t="shared" si="21"/>
        <v>24</v>
      </c>
      <c r="AW46" s="168">
        <f>COUNTIF( AV$7:AV46, AV46 )</f>
        <v>16</v>
      </c>
      <c r="AX46" s="208">
        <f t="shared" si="22"/>
        <v>25.6</v>
      </c>
      <c r="AY46" s="168">
        <f t="shared" si="23"/>
        <v>39</v>
      </c>
      <c r="AZ46" s="169"/>
      <c r="BA46" s="169"/>
      <c r="BC46" s="168">
        <f t="shared" ca="1" si="24"/>
        <v>40</v>
      </c>
      <c r="BD46" s="209">
        <f t="shared" ca="1" si="7"/>
        <v>41</v>
      </c>
      <c r="BF46" s="173" t="str">
        <f t="shared" ca="1" si="25"/>
        <v>Portland General Electric Company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POR</v>
      </c>
    </row>
    <row r="47" spans="1:61" ht="13.9">
      <c r="A47" s="223" t="s">
        <v>243</v>
      </c>
      <c r="B47" s="224" t="s">
        <v>141</v>
      </c>
      <c r="C47" s="224">
        <v>18</v>
      </c>
      <c r="D47" s="224" t="s">
        <v>244</v>
      </c>
      <c r="E47" s="225" t="str">
        <f t="shared" ca="1" si="0"/>
        <v>MR</v>
      </c>
      <c r="F47" s="365"/>
      <c r="G47" s="366">
        <f t="shared" ca="1" si="1"/>
        <v>44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24</v>
      </c>
      <c r="AW47" s="168">
        <f>COUNTIF( AV$7:AV47, AV47 )</f>
        <v>17</v>
      </c>
      <c r="AX47" s="208">
        <f t="shared" si="22"/>
        <v>25.7</v>
      </c>
      <c r="AY47" s="168">
        <f t="shared" si="23"/>
        <v>40</v>
      </c>
      <c r="AZ47" s="169"/>
      <c r="BA47" s="169"/>
      <c r="BC47" s="168">
        <f t="shared" ca="1" si="24"/>
        <v>41</v>
      </c>
      <c r="BD47" s="209">
        <f t="shared" ca="1" si="7"/>
        <v>42</v>
      </c>
      <c r="BF47" s="173" t="str">
        <f t="shared" ca="1" si="25"/>
        <v>PPL Corporation</v>
      </c>
      <c r="BG47" s="173" t="str">
        <f t="shared" ca="1" si="9"/>
        <v>BBB</v>
      </c>
      <c r="BH47" s="173">
        <f t="shared" ca="1" si="9"/>
        <v>18</v>
      </c>
      <c r="BI47" s="173" t="str">
        <f t="shared" ca="1" si="9"/>
        <v>PPL</v>
      </c>
    </row>
    <row r="48" spans="1:61" ht="13.9">
      <c r="A48" s="223" t="s">
        <v>389</v>
      </c>
      <c r="B48" s="224" t="s">
        <v>141</v>
      </c>
      <c r="C48" s="224">
        <v>18</v>
      </c>
      <c r="D48" s="224" t="s">
        <v>390</v>
      </c>
      <c r="E48" s="225" t="str">
        <f t="shared" ca="1" si="0"/>
        <v>R</v>
      </c>
      <c r="F48" s="365"/>
      <c r="G48" s="366">
        <f t="shared" ca="1" si="1"/>
        <v>50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24</v>
      </c>
      <c r="AW48" s="168">
        <f>COUNTIF( AV$7:AV48, AV48 )</f>
        <v>18</v>
      </c>
      <c r="AX48" s="208">
        <f t="shared" si="22"/>
        <v>25.8</v>
      </c>
      <c r="AY48" s="168">
        <f t="shared" si="23"/>
        <v>41</v>
      </c>
      <c r="AZ48" s="169"/>
      <c r="BA48" s="169"/>
      <c r="BC48" s="168">
        <f t="shared" ca="1" si="24"/>
        <v>42</v>
      </c>
      <c r="BD48" s="209">
        <f t="shared" ca="1" si="7"/>
        <v>49</v>
      </c>
      <c r="BF48" s="173" t="str">
        <f t="shared" ca="1" si="25"/>
        <v>UIL Holdings Corporation</v>
      </c>
      <c r="BG48" s="173" t="str">
        <f t="shared" ca="1" si="9"/>
        <v>BBB</v>
      </c>
      <c r="BH48" s="173">
        <f t="shared" ca="1" si="9"/>
        <v>18</v>
      </c>
      <c r="BI48" s="173" t="str">
        <f t="shared" ca="1" si="9"/>
        <v>UIL</v>
      </c>
    </row>
    <row r="49" spans="1:61" ht="13.9">
      <c r="A49" s="223" t="s">
        <v>354</v>
      </c>
      <c r="B49" s="224" t="s">
        <v>141</v>
      </c>
      <c r="C49" s="224">
        <v>18</v>
      </c>
      <c r="D49" s="224" t="s">
        <v>355</v>
      </c>
      <c r="E49" s="225" t="str">
        <f t="shared" ca="1" si="0"/>
        <v>R</v>
      </c>
      <c r="F49" s="365"/>
      <c r="G49" s="366">
        <f t="shared" ca="1" si="1"/>
        <v>54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5"/>
        <v/>
      </c>
      <c r="AQ49" s="207" t="s">
        <v>289</v>
      </c>
      <c r="AR49" s="207" t="s">
        <v>140</v>
      </c>
      <c r="AS49" s="207">
        <v>19</v>
      </c>
      <c r="AT49" s="207" t="s">
        <v>290</v>
      </c>
      <c r="AV49" s="168">
        <f t="shared" si="21"/>
        <v>13</v>
      </c>
      <c r="AW49" s="168">
        <f>COUNTIF( AV$7:AV49, AV49 )</f>
        <v>8</v>
      </c>
      <c r="AX49" s="208">
        <f t="shared" si="22"/>
        <v>13.8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51</v>
      </c>
      <c r="BF49" s="173" t="str">
        <f t="shared" ca="1" si="25"/>
        <v>Westar Energy, Inc.</v>
      </c>
      <c r="BG49" s="173" t="str">
        <f t="shared" ca="1" si="9"/>
        <v>BBB</v>
      </c>
      <c r="BH49" s="173">
        <f t="shared" ca="1" si="9"/>
        <v>18</v>
      </c>
      <c r="BI49" s="173" t="str">
        <f t="shared" ca="1" si="9"/>
        <v>WR</v>
      </c>
    </row>
    <row r="50" spans="1:61" ht="13.9">
      <c r="A50" s="223" t="s">
        <v>245</v>
      </c>
      <c r="B50" s="224" t="s">
        <v>142</v>
      </c>
      <c r="C50" s="224">
        <v>17</v>
      </c>
      <c r="D50" s="224" t="s">
        <v>246</v>
      </c>
      <c r="E50" s="225" t="str">
        <f t="shared" ca="1" si="0"/>
        <v>R</v>
      </c>
      <c r="F50" s="365"/>
      <c r="G50" s="366">
        <f t="shared" ca="1" si="1"/>
        <v>12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48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6</v>
      </c>
      <c r="BF50" s="173" t="str">
        <f t="shared" ca="1" si="25"/>
        <v>Black Hills Corporation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BKH</v>
      </c>
    </row>
    <row r="51" spans="1:61" ht="13.9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0"/>
        <v>R</v>
      </c>
      <c r="F51" s="365"/>
      <c r="G51" s="366">
        <f t="shared" ca="1" si="1"/>
        <v>20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49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1"/>
        <v>13</v>
      </c>
      <c r="AW51" s="168">
        <f>COUNTIF( AV$7:AV51, AV51 )</f>
        <v>9</v>
      </c>
      <c r="AX51" s="208">
        <f t="shared" si="22"/>
        <v>13.9</v>
      </c>
      <c r="AY51" s="168">
        <f t="shared" si="23"/>
        <v>21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0"/>
        <v>MR</v>
      </c>
      <c r="F52" s="365"/>
      <c r="G52" s="366">
        <f t="shared" ca="1" si="1"/>
        <v>25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50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1"/>
        <v>13</v>
      </c>
      <c r="AW52" s="168">
        <f>COUNTIF( AV$7:AV52, AV52 )</f>
        <v>10</v>
      </c>
      <c r="AX52" s="208">
        <f t="shared" si="22"/>
        <v>14</v>
      </c>
      <c r="AY52" s="168">
        <f t="shared" si="23"/>
        <v>22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0"/>
        <v>MR</v>
      </c>
      <c r="F53" s="365"/>
      <c r="G53" s="366">
        <f t="shared" ca="1" si="1"/>
        <v>27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51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3.9">
      <c r="A54" s="223" t="s">
        <v>287</v>
      </c>
      <c r="B54" s="224" t="s">
        <v>142</v>
      </c>
      <c r="C54" s="224">
        <v>17</v>
      </c>
      <c r="D54" s="224" t="s">
        <v>288</v>
      </c>
      <c r="E54" s="225" t="str">
        <f t="shared" ca="1" si="0"/>
        <v>R</v>
      </c>
      <c r="F54" s="365"/>
      <c r="G54" s="366">
        <f t="shared" ca="1" si="1"/>
        <v>61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52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1"/>
        <v>13</v>
      </c>
      <c r="AW54" s="168">
        <f>COUNTIF( AV$7:AV54, AV54 )</f>
        <v>11</v>
      </c>
      <c r="AX54" s="208">
        <f t="shared" si="22"/>
        <v>14.1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3.9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0"/>
        <v>MR</v>
      </c>
      <c r="F55" s="365"/>
      <c r="G55" s="366">
        <f t="shared" ca="1" si="1"/>
        <v>33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53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1"/>
        <v>24</v>
      </c>
      <c r="AW55" s="168">
        <f>COUNTIF( AV$7:AV55, AV55 )</f>
        <v>19</v>
      </c>
      <c r="AX55" s="208">
        <f t="shared" si="22"/>
        <v>25.9</v>
      </c>
      <c r="AY55" s="168">
        <f t="shared" si="23"/>
        <v>42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3.9">
      <c r="A56" s="223" t="s">
        <v>411</v>
      </c>
      <c r="B56" s="224" t="s">
        <v>142</v>
      </c>
      <c r="C56" s="224">
        <v>17</v>
      </c>
      <c r="D56" s="224" t="s">
        <v>412</v>
      </c>
      <c r="E56" s="225" t="str">
        <f t="shared" ca="1" si="0"/>
        <v>R</v>
      </c>
      <c r="F56" s="365"/>
      <c r="G56" s="366">
        <f t="shared" ca="1" si="1"/>
        <v>36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1"/>
        <v>2</v>
      </c>
      <c r="AW56" s="168">
        <f>COUNTIF( AV$7:AV56, AV56 )</f>
        <v>9</v>
      </c>
      <c r="AX56" s="208">
        <f t="shared" si="22"/>
        <v>2.9</v>
      </c>
      <c r="AY56" s="168">
        <f t="shared" si="23"/>
        <v>10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25"/>
        <v>NV Energy,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NVE</v>
      </c>
    </row>
    <row r="57" spans="1:61" ht="13.9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0"/>
        <v>R</v>
      </c>
      <c r="F57" s="365"/>
      <c r="G57" s="366">
        <f t="shared" ca="1" si="1"/>
        <v>63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1"/>
        <v>24</v>
      </c>
      <c r="AW57" s="168">
        <f>COUNTIF( AV$7:AV57, AV57 )</f>
        <v>20</v>
      </c>
      <c r="AX57" s="208">
        <f t="shared" si="22"/>
        <v>26</v>
      </c>
      <c r="AY57" s="168">
        <f t="shared" si="23"/>
        <v>43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3.9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0"/>
        <v>R</v>
      </c>
      <c r="F58" s="365"/>
      <c r="G58" s="366">
        <f t="shared" ca="1" si="1"/>
        <v>59</v>
      </c>
      <c r="H58" s="367"/>
      <c r="I58" s="367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1"/>
        <v>2</v>
      </c>
      <c r="AW58" s="168">
        <f>COUNTIF( AV$7:AV58, AV58 )</f>
        <v>10</v>
      </c>
      <c r="AX58" s="208">
        <f t="shared" si="22"/>
        <v>3</v>
      </c>
      <c r="AY58" s="168">
        <f t="shared" si="23"/>
        <v>11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3.9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65"/>
      <c r="G59" s="366">
        <f t="shared" ca="1" si="1"/>
        <v>60</v>
      </c>
      <c r="H59" s="367"/>
      <c r="I59" s="367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11</v>
      </c>
      <c r="AX59" s="208">
        <f t="shared" si="22"/>
        <v>3.1</v>
      </c>
      <c r="AY59" s="168">
        <f t="shared" si="23"/>
        <v>12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1"/>
        <v/>
      </c>
      <c r="H61" s="367"/>
      <c r="I61" s="367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1"/>
        <v>31</v>
      </c>
      <c r="H62" s="367"/>
      <c r="I62" s="367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9">
      <c r="A63" s="223" t="s">
        <v>399</v>
      </c>
      <c r="B63" s="224" t="s">
        <v>173</v>
      </c>
      <c r="C63" s="224">
        <v>16</v>
      </c>
      <c r="D63" s="224" t="s">
        <v>400</v>
      </c>
      <c r="E63" s="225" t="str">
        <f ca="1">OFFSET( INDIRECT( E$3 &amp; E$4 ), $G63 - 1, 0 )</f>
        <v>R</v>
      </c>
      <c r="F63" s="365"/>
      <c r="G63" s="366">
        <f t="shared" ca="1" si="1"/>
        <v>52</v>
      </c>
      <c r="H63" s="367"/>
      <c r="I63" s="367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BB+</v>
      </c>
      <c r="AL63" s="169">
        <f t="shared" ca="1" si="20"/>
        <v>16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9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65"/>
      <c r="G64" s="366">
        <f t="shared" ca="1" si="1"/>
        <v>51</v>
      </c>
      <c r="H64" s="367"/>
      <c r="I64" s="367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>
        <f t="shared" ca="1" si="4"/>
        <v>65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4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399</v>
      </c>
      <c r="AR67" s="207" t="s">
        <v>173</v>
      </c>
      <c r="AS67" s="207">
        <v>16</v>
      </c>
      <c r="AT67" s="207" t="s">
        <v>400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18.327272727272728</v>
      </c>
      <c r="D68" s="201"/>
      <c r="E68" s="201"/>
      <c r="F68" s="367"/>
      <c r="H68" s="367"/>
      <c r="I68" s="367"/>
      <c r="J68" s="368"/>
      <c r="K68" s="368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314</v>
      </c>
      <c r="B73" s="173"/>
      <c r="D73" s="173"/>
      <c r="E73" s="173"/>
      <c r="F73" s="204"/>
      <c r="H73" s="204"/>
      <c r="I73" s="204"/>
    </row>
    <row r="74" spans="1:58">
      <c r="A74" s="205" t="s">
        <v>403</v>
      </c>
      <c r="D74" s="204"/>
      <c r="F74" s="206"/>
      <c r="H74" s="206"/>
      <c r="I74" s="206"/>
    </row>
    <row r="75" spans="1:58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>
      <c r="A76" s="203"/>
      <c r="D76" s="204"/>
      <c r="F76" s="206"/>
      <c r="H76" s="206"/>
      <c r="I76" s="206"/>
      <c r="AQ76" s="207"/>
      <c r="AR76" s="207"/>
      <c r="AS76" s="207"/>
    </row>
    <row r="77" spans="1:58">
      <c r="A77" s="203"/>
      <c r="AQ77" s="207"/>
      <c r="AR77" s="207"/>
      <c r="AS77" s="207"/>
    </row>
    <row r="78" spans="1:58">
      <c r="C78" s="190">
        <f>SUMPRODUCT( L8:L13, Y8:Y13 ) / L14</f>
        <v>18.436363636363637</v>
      </c>
      <c r="E78" s="191"/>
      <c r="G78" s="370"/>
      <c r="J78" s="173"/>
      <c r="K78" s="173"/>
      <c r="AQ78" s="207"/>
      <c r="AR78" s="207"/>
      <c r="AS78" s="207"/>
    </row>
    <row r="79" spans="1:58" s="173" customFormat="1" ht="13.9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xmlns:xlrd2="http://schemas.microsoft.com/office/spreadsheetml/2017/richdata2"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  <selection activeCell="X68" sqref="X68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-- 2013 Q1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Reg_Percent_2011</v>
      </c>
      <c r="G2" s="172" t="s">
        <v>414</v>
      </c>
      <c r="AJ2" s="173" t="str">
        <f>AJ4 &amp; AJ3</f>
        <v>'Credit_2012Q4'!a:a</v>
      </c>
      <c r="AK2" s="173" t="str">
        <f>AK4 &amp; AK3</f>
        <v>'Credit_2012Q4'!b1</v>
      </c>
      <c r="AL2" s="173" t="str">
        <f>AL4 &amp; AL3</f>
        <v>'Credit_2012Q4'!c1</v>
      </c>
    </row>
    <row r="3" spans="1:61" ht="18" hidden="1" outlineLevel="1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415</v>
      </c>
      <c r="AK4" s="169" t="str">
        <f>AJ4</f>
        <v>'Credit_2012Q4'!</v>
      </c>
      <c r="AL4" s="169" t="str">
        <f>AK4</f>
        <v>'Credit_2012Q4'!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(56)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(3)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52</v>
      </c>
      <c r="C6" s="249" t="s">
        <v>214</v>
      </c>
      <c r="D6" s="221"/>
      <c r="E6" s="222">
        <v>40908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65"/>
      <c r="G7" s="366">
        <f t="shared" ref="G7:G65" ca="1" si="1">IF( LEN( $D7 ) = 0, "", MATCH( $D7, INDIRECT( G$3 &amp; G$4 ), 0 ) )</f>
        <v>53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15</v>
      </c>
      <c r="AT7" s="207" t="s">
        <v>218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17</v>
      </c>
      <c r="BI7" s="173" t="str">
        <f t="shared" ca="1" si="9"/>
        <v>SO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0"/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68"/>
      <c r="AE8" s="184"/>
      <c r="AF8" s="169">
        <f t="shared" si="2"/>
        <v>0</v>
      </c>
      <c r="AG8" s="169">
        <f t="shared" ca="1" si="3"/>
        <v>1</v>
      </c>
      <c r="AH8" s="169" t="str">
        <f t="shared" ref="AH8:AH67" ca="1" si="19">IF( LEN( $C8 ) = 0, "", IF( $C8 &lt; $AL8, 1, "" ) )</f>
        <v/>
      </c>
      <c r="AJ8" s="169">
        <f t="shared" ca="1" si="4"/>
        <v>17</v>
      </c>
      <c r="AK8" s="169" t="str">
        <f t="shared" ref="AK8:AL67" ca="1" si="20">IF( ISNA( $AJ8 ), "", OFFSET( INDIRECT( AK$2 ), $AJ8-1, 0 ) )</f>
        <v>BBB+</v>
      </c>
      <c r="AL8" s="169">
        <f t="shared" ca="1" si="20"/>
        <v>19</v>
      </c>
      <c r="AM8" s="169" t="str">
        <f t="shared" ca="1" si="5"/>
        <v>Change</v>
      </c>
      <c r="AQ8" s="207" t="s">
        <v>219</v>
      </c>
      <c r="AR8" s="207" t="s">
        <v>139</v>
      </c>
      <c r="AS8" s="207">
        <v>16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16</v>
      </c>
      <c r="BI8" s="173" t="str">
        <f t="shared" ca="1" si="9"/>
        <v>LNT</v>
      </c>
    </row>
    <row r="9" spans="1:61" ht="13.9">
      <c r="A9" s="223" t="s">
        <v>227</v>
      </c>
      <c r="B9" s="224" t="s">
        <v>139</v>
      </c>
      <c r="C9" s="224">
        <v>20</v>
      </c>
      <c r="D9" s="224" t="s">
        <v>228</v>
      </c>
      <c r="E9" s="225" t="str">
        <f t="shared" ca="1" si="0"/>
        <v>R</v>
      </c>
      <c r="F9" s="365"/>
      <c r="G9" s="366">
        <f t="shared" ca="1" si="1"/>
        <v>18</v>
      </c>
      <c r="H9" s="367"/>
      <c r="I9" s="234"/>
      <c r="J9" s="215" t="s">
        <v>139</v>
      </c>
      <c r="K9" s="234"/>
      <c r="L9" s="215">
        <f t="shared" si="10"/>
        <v>9</v>
      </c>
      <c r="M9" s="216">
        <f t="shared" si="11"/>
        <v>0.16071428571428573</v>
      </c>
      <c r="N9" s="234"/>
      <c r="O9" s="215">
        <f t="shared" ca="1" si="12"/>
        <v>7</v>
      </c>
      <c r="P9" s="216">
        <f t="shared" ca="1" si="13"/>
        <v>0.19444444444444445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141</v>
      </c>
      <c r="AS9" s="207">
        <v>14</v>
      </c>
      <c r="AT9" s="207" t="s">
        <v>226</v>
      </c>
      <c r="AV9" s="168">
        <f t="shared" si="21"/>
        <v>23</v>
      </c>
      <c r="AW9" s="168">
        <f>COUNTIF( AV$7:AV9, AV9 )</f>
        <v>1</v>
      </c>
      <c r="AX9" s="208">
        <f t="shared" si="22"/>
        <v>23.1</v>
      </c>
      <c r="AY9" s="168">
        <f t="shared" si="23"/>
        <v>23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16</v>
      </c>
      <c r="BI9" s="173" t="str">
        <f t="shared" ca="1" si="9"/>
        <v>ED</v>
      </c>
    </row>
    <row r="10" spans="1:61" ht="13.9">
      <c r="A10" s="223" t="s">
        <v>361</v>
      </c>
      <c r="B10" s="224" t="s">
        <v>139</v>
      </c>
      <c r="C10" s="224">
        <v>20</v>
      </c>
      <c r="D10" s="224" t="s">
        <v>194</v>
      </c>
      <c r="E10" s="225" t="str">
        <f t="shared" ca="1" si="0"/>
        <v>MR</v>
      </c>
      <c r="F10" s="365"/>
      <c r="G10" s="366">
        <f t="shared" ca="1" si="1"/>
        <v>20</v>
      </c>
      <c r="H10" s="367"/>
      <c r="I10" s="234"/>
      <c r="J10" s="215" t="s">
        <v>140</v>
      </c>
      <c r="K10" s="234"/>
      <c r="L10" s="215">
        <f t="shared" si="10"/>
        <v>12</v>
      </c>
      <c r="M10" s="216">
        <f t="shared" si="11"/>
        <v>0.21428571428571427</v>
      </c>
      <c r="N10" s="234"/>
      <c r="O10" s="215">
        <f t="shared" ca="1" si="12"/>
        <v>4</v>
      </c>
      <c r="P10" s="216">
        <f t="shared" ca="1" si="13"/>
        <v>0.1111111111111111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14</v>
      </c>
      <c r="AT10" s="207" t="s">
        <v>223</v>
      </c>
      <c r="AV10" s="168">
        <f t="shared" si="21"/>
        <v>23</v>
      </c>
      <c r="AW10" s="168">
        <f>COUNTIF( AV$7:AV10, AV10 )</f>
        <v>2</v>
      </c>
      <c r="AX10" s="208">
        <f t="shared" si="22"/>
        <v>23.2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16</v>
      </c>
      <c r="BI10" s="173" t="str">
        <f t="shared" ca="1" si="9"/>
        <v>D</v>
      </c>
    </row>
    <row r="11" spans="1:61" ht="13.9">
      <c r="A11" s="223" t="s">
        <v>395</v>
      </c>
      <c r="B11" s="224" t="s">
        <v>139</v>
      </c>
      <c r="C11" s="224">
        <v>20</v>
      </c>
      <c r="D11" s="224" t="s">
        <v>396</v>
      </c>
      <c r="E11" s="225" t="str">
        <f t="shared" ca="1" si="0"/>
        <v>R</v>
      </c>
      <c r="F11" s="365"/>
      <c r="G11" s="366">
        <f t="shared" ca="1" si="1"/>
        <v>32</v>
      </c>
      <c r="H11" s="367"/>
      <c r="I11" s="234"/>
      <c r="J11" s="215" t="s">
        <v>141</v>
      </c>
      <c r="K11" s="234"/>
      <c r="L11" s="215">
        <f t="shared" si="10"/>
        <v>19</v>
      </c>
      <c r="M11" s="216">
        <f t="shared" si="11"/>
        <v>0.3392857142857143</v>
      </c>
      <c r="N11" s="234"/>
      <c r="O11" s="215">
        <f t="shared" ca="1" si="12"/>
        <v>16</v>
      </c>
      <c r="P11" s="216">
        <f t="shared" ca="1" si="13"/>
        <v>0.44444444444444442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14</v>
      </c>
      <c r="AT11" s="207" t="s">
        <v>239</v>
      </c>
      <c r="AV11" s="168">
        <f t="shared" si="21"/>
        <v>23</v>
      </c>
      <c r="AW11" s="168">
        <f>COUNTIF( AV$7:AV11, AV11 )</f>
        <v>3</v>
      </c>
      <c r="AX11" s="208">
        <f t="shared" si="22"/>
        <v>23.3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16</v>
      </c>
      <c r="BI11" s="173" t="str">
        <f t="shared" ca="1" si="9"/>
        <v>TEG</v>
      </c>
    </row>
    <row r="12" spans="1:61" ht="13.9">
      <c r="A12" s="223" t="s">
        <v>240</v>
      </c>
      <c r="B12" s="224" t="s">
        <v>139</v>
      </c>
      <c r="C12" s="224">
        <v>20</v>
      </c>
      <c r="D12" s="224" t="s">
        <v>241</v>
      </c>
      <c r="E12" s="225" t="str">
        <f t="shared" ca="1" si="0"/>
        <v>MR</v>
      </c>
      <c r="F12" s="365"/>
      <c r="G12" s="366">
        <f t="shared" ca="1" si="1"/>
        <v>35</v>
      </c>
      <c r="H12" s="367"/>
      <c r="I12" s="234"/>
      <c r="J12" s="215" t="s">
        <v>142</v>
      </c>
      <c r="K12" s="234"/>
      <c r="L12" s="215">
        <f t="shared" si="10"/>
        <v>9</v>
      </c>
      <c r="M12" s="216">
        <f t="shared" si="11"/>
        <v>0.16071428571428573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9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13</v>
      </c>
      <c r="AT12" s="207" t="s">
        <v>246</v>
      </c>
      <c r="AV12" s="168">
        <f t="shared" si="21"/>
        <v>42</v>
      </c>
      <c r="AW12" s="168">
        <f>COUNTIF( AV$7:AV12, AV12 )</f>
        <v>1</v>
      </c>
      <c r="AX12" s="208">
        <f t="shared" si="22"/>
        <v>42.1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16</v>
      </c>
      <c r="BI12" s="173" t="str">
        <f t="shared" ca="1" si="9"/>
        <v>NEE</v>
      </c>
    </row>
    <row r="13" spans="1:61" ht="13.9">
      <c r="A13" s="223" t="s">
        <v>394</v>
      </c>
      <c r="B13" s="224" t="s">
        <v>139</v>
      </c>
      <c r="C13" s="224">
        <v>20</v>
      </c>
      <c r="D13" s="224" t="s">
        <v>236</v>
      </c>
      <c r="E13" s="225" t="str">
        <f t="shared" ca="1" si="0"/>
        <v>R</v>
      </c>
      <c r="F13" s="365"/>
      <c r="G13" s="366">
        <f t="shared" ca="1" si="1"/>
        <v>37</v>
      </c>
      <c r="H13" s="367"/>
      <c r="I13" s="235"/>
      <c r="J13" s="217" t="s">
        <v>143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140</v>
      </c>
      <c r="AS13" s="207">
        <v>15</v>
      </c>
      <c r="AT13" s="207" t="s">
        <v>250</v>
      </c>
      <c r="AV13" s="168">
        <f t="shared" si="21"/>
        <v>11</v>
      </c>
      <c r="AW13" s="168">
        <f>COUNTIF( AV$7:AV13, AV13 )</f>
        <v>2</v>
      </c>
      <c r="AX13" s="208">
        <f t="shared" si="22"/>
        <v>11.2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16</v>
      </c>
      <c r="BI13" s="173" t="str">
        <f t="shared" ca="1" si="9"/>
        <v>ES</v>
      </c>
    </row>
    <row r="14" spans="1:61" ht="13.9">
      <c r="A14" s="223" t="s">
        <v>345</v>
      </c>
      <c r="B14" s="224" t="s">
        <v>139</v>
      </c>
      <c r="C14" s="224">
        <v>20</v>
      </c>
      <c r="D14" s="224" t="s">
        <v>346</v>
      </c>
      <c r="E14" s="225" t="str">
        <f t="shared" ca="1" si="0"/>
        <v>R</v>
      </c>
      <c r="F14" s="365"/>
      <c r="G14" s="366">
        <f t="shared" ca="1" si="1"/>
        <v>58</v>
      </c>
      <c r="H14" s="367"/>
      <c r="I14" s="236"/>
      <c r="J14" s="211" t="s">
        <v>144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18.392857142857142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14</v>
      </c>
      <c r="AT14" s="207" t="s">
        <v>378</v>
      </c>
      <c r="AV14" s="168">
        <f>IF( LEN( AS14 ) = 0, 99, RANK( AS14, $AS$7:$AS$63 ) )</f>
        <v>23</v>
      </c>
      <c r="AW14" s="168">
        <f>COUNTIF( AV$7:AV14, AV14 )</f>
        <v>4</v>
      </c>
      <c r="AX14" s="208">
        <f t="shared" si="22"/>
        <v>23.4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50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16</v>
      </c>
      <c r="BI14" s="173" t="str">
        <f t="shared" ca="1" si="9"/>
        <v>VVC</v>
      </c>
    </row>
    <row r="15" spans="1:61" ht="13.9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0"/>
        <v>R</v>
      </c>
      <c r="F15" s="365"/>
      <c r="G15" s="366">
        <f t="shared" ca="1" si="1"/>
        <v>60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141</v>
      </c>
      <c r="AS15" s="207">
        <v>14</v>
      </c>
      <c r="AT15" s="207" t="s">
        <v>257</v>
      </c>
      <c r="AV15" s="168">
        <f t="shared" si="21"/>
        <v>23</v>
      </c>
      <c r="AW15" s="168">
        <f>COUNTIF( AV$7:AV15, AV15 )</f>
        <v>5</v>
      </c>
      <c r="AX15" s="208">
        <f t="shared" si="22"/>
        <v>23.5</v>
      </c>
      <c r="AY15" s="168">
        <f t="shared" si="23"/>
        <v>27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16</v>
      </c>
      <c r="BI15" s="173" t="str">
        <f t="shared" ca="1" si="9"/>
        <v>WEC</v>
      </c>
    </row>
    <row r="16" spans="1:61" ht="13.9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0"/>
        <v>R</v>
      </c>
      <c r="F16" s="365"/>
      <c r="G16" s="366">
        <f t="shared" ca="1" si="1"/>
        <v>61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18.285714285714285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18.361111111111111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18.705882352941178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15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16</v>
      </c>
      <c r="AT16" s="207" t="s">
        <v>228</v>
      </c>
      <c r="AV16" s="168">
        <f t="shared" si="21"/>
        <v>2</v>
      </c>
      <c r="AW16" s="168">
        <f>COUNTIF( AV$7:AV16, AV16 )</f>
        <v>2</v>
      </c>
      <c r="AX16" s="208">
        <f t="shared" si="22"/>
        <v>2.2000000000000002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53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16</v>
      </c>
      <c r="BI16" s="173" t="str">
        <f t="shared" ca="1" si="9"/>
        <v>XEL</v>
      </c>
    </row>
    <row r="17" spans="1:61" ht="13.9">
      <c r="A17" s="223" t="s">
        <v>217</v>
      </c>
      <c r="B17" s="224" t="s">
        <v>140</v>
      </c>
      <c r="C17" s="224">
        <v>19</v>
      </c>
      <c r="D17" s="224" t="s">
        <v>218</v>
      </c>
      <c r="E17" s="225" t="str">
        <f t="shared" ca="1" si="0"/>
        <v>R</v>
      </c>
      <c r="F17" s="365"/>
      <c r="G17" s="366">
        <f t="shared" ca="1" si="1"/>
        <v>7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16</v>
      </c>
      <c r="AT17" s="207" t="s">
        <v>194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15</v>
      </c>
      <c r="BI17" s="173" t="str">
        <f t="shared" ca="1" si="9"/>
        <v>ALE</v>
      </c>
    </row>
    <row r="18" spans="1:61" ht="13.9">
      <c r="A18" s="223" t="s">
        <v>249</v>
      </c>
      <c r="B18" s="224" t="s">
        <v>140</v>
      </c>
      <c r="C18" s="224">
        <v>19</v>
      </c>
      <c r="D18" s="224" t="s">
        <v>250</v>
      </c>
      <c r="E18" s="225" t="str">
        <f t="shared" ca="1" si="0"/>
        <v>MR</v>
      </c>
      <c r="F18" s="365"/>
      <c r="G18" s="366">
        <f t="shared" ca="1" si="1"/>
        <v>13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175</v>
      </c>
      <c r="AS18" s="207">
        <v>11</v>
      </c>
      <c r="AT18" s="207" t="s">
        <v>260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15</v>
      </c>
      <c r="BI18" s="173" t="str">
        <f t="shared" ca="1" si="9"/>
        <v>CNP</v>
      </c>
    </row>
    <row r="19" spans="1:61" ht="13.9">
      <c r="A19" s="223" t="s">
        <v>261</v>
      </c>
      <c r="B19" s="224" t="s">
        <v>140</v>
      </c>
      <c r="C19" s="224">
        <v>19</v>
      </c>
      <c r="D19" s="224" t="s">
        <v>262</v>
      </c>
      <c r="E19" s="225" t="str">
        <f t="shared" ca="1" si="0"/>
        <v>R</v>
      </c>
      <c r="F19" s="365"/>
      <c r="G19" s="366">
        <f t="shared" ca="1" si="1"/>
        <v>21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15</v>
      </c>
      <c r="AT19" s="207" t="s">
        <v>262</v>
      </c>
      <c r="AV19" s="168">
        <f t="shared" si="21"/>
        <v>11</v>
      </c>
      <c r="AW19" s="168">
        <f>COUNTIF( AV$7:AV19, AV19 )</f>
        <v>3</v>
      </c>
      <c r="AX19" s="208">
        <f t="shared" si="22"/>
        <v>11.3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15</v>
      </c>
      <c r="BI19" s="173" t="str">
        <f t="shared" ca="1" si="9"/>
        <v>DTE</v>
      </c>
    </row>
    <row r="20" spans="1:61" ht="13.9">
      <c r="A20" s="223" t="s">
        <v>263</v>
      </c>
      <c r="B20" s="224" t="s">
        <v>140</v>
      </c>
      <c r="C20" s="224">
        <v>19</v>
      </c>
      <c r="D20" s="224" t="s">
        <v>264</v>
      </c>
      <c r="E20" s="225" t="str">
        <f t="shared" ca="1" si="0"/>
        <v>MR</v>
      </c>
      <c r="F20" s="365"/>
      <c r="G20" s="366">
        <f t="shared" ca="1" si="1"/>
        <v>22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140</v>
      </c>
      <c r="AS20" s="207">
        <v>15</v>
      </c>
      <c r="AT20" s="207" t="s">
        <v>264</v>
      </c>
      <c r="AV20" s="168">
        <f t="shared" si="21"/>
        <v>11</v>
      </c>
      <c r="AW20" s="168">
        <f>COUNTIF( AV$7:AV20, AV20 )</f>
        <v>4</v>
      </c>
      <c r="AX20" s="208">
        <f t="shared" si="22"/>
        <v>11.4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15</v>
      </c>
      <c r="BI20" s="173" t="str">
        <f t="shared" ca="1" si="9"/>
        <v>DUK</v>
      </c>
    </row>
    <row r="21" spans="1:61" ht="13.9">
      <c r="A21" s="223" t="s">
        <v>271</v>
      </c>
      <c r="B21" s="224" t="s">
        <v>140</v>
      </c>
      <c r="C21" s="224">
        <v>19</v>
      </c>
      <c r="D21" s="224" t="s">
        <v>272</v>
      </c>
      <c r="E21" s="225" t="str">
        <f t="shared" ca="1" si="0"/>
        <v>D</v>
      </c>
      <c r="F21" s="365"/>
      <c r="G21" s="366">
        <f t="shared" ca="1" si="1"/>
        <v>33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13</v>
      </c>
      <c r="AT21" s="207" t="s">
        <v>266</v>
      </c>
      <c r="AV21" s="168">
        <f t="shared" si="21"/>
        <v>42</v>
      </c>
      <c r="AW21" s="168">
        <f>COUNTIF( AV$7:AV21, AV21 )</f>
        <v>2</v>
      </c>
      <c r="AX21" s="208">
        <f t="shared" si="22"/>
        <v>42.2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15</v>
      </c>
      <c r="BI21" s="173" t="str">
        <f t="shared" ca="1" si="9"/>
        <v>MDU</v>
      </c>
    </row>
    <row r="22" spans="1:61" ht="13.9">
      <c r="A22" s="223" t="s">
        <v>408</v>
      </c>
      <c r="B22" s="224" t="s">
        <v>140</v>
      </c>
      <c r="C22" s="224">
        <v>19</v>
      </c>
      <c r="D22" s="224" t="s">
        <v>216</v>
      </c>
      <c r="E22" s="225" t="str">
        <f t="shared" ca="1" si="0"/>
        <v>MR</v>
      </c>
      <c r="F22" s="365"/>
      <c r="G22" s="366">
        <f t="shared" ca="1" si="1"/>
        <v>67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14</v>
      </c>
      <c r="AT22" s="207" t="s">
        <v>331</v>
      </c>
      <c r="AV22" s="168">
        <f t="shared" si="21"/>
        <v>23</v>
      </c>
      <c r="AW22" s="168">
        <f>COUNTIF( AV$7:AV22, AV22 )</f>
        <v>6</v>
      </c>
      <c r="AX22" s="208">
        <f t="shared" si="22"/>
        <v>23.6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15</v>
      </c>
      <c r="BI22" s="173" t="str">
        <f t="shared" ca="1" si="9"/>
        <v>**BRK</v>
      </c>
    </row>
    <row r="23" spans="1:61" ht="13.9">
      <c r="A23" s="223" t="s">
        <v>277</v>
      </c>
      <c r="B23" s="224" t="s">
        <v>140</v>
      </c>
      <c r="C23" s="224">
        <v>19</v>
      </c>
      <c r="D23" s="224" t="s">
        <v>278</v>
      </c>
      <c r="E23" s="225" t="str">
        <f t="shared" ca="1" si="0"/>
        <v>MR</v>
      </c>
      <c r="F23" s="365"/>
      <c r="G23" s="366">
        <f t="shared" ca="1" si="1"/>
        <v>41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141</v>
      </c>
      <c r="AS23" s="207">
        <v>14</v>
      </c>
      <c r="AT23" s="207" t="s">
        <v>368</v>
      </c>
      <c r="AV23" s="168">
        <f t="shared" si="21"/>
        <v>23</v>
      </c>
      <c r="AW23" s="168">
        <f>COUNTIF( AV$7:AV23, AV23 )</f>
        <v>7</v>
      </c>
      <c r="AX23" s="208">
        <f t="shared" si="22"/>
        <v>23.7</v>
      </c>
      <c r="AY23" s="168">
        <f t="shared" si="23"/>
        <v>29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15</v>
      </c>
      <c r="BI23" s="173" t="str">
        <f t="shared" ca="1" si="9"/>
        <v>OGE</v>
      </c>
    </row>
    <row r="24" spans="1:61" ht="13.9">
      <c r="A24" s="223" t="s">
        <v>382</v>
      </c>
      <c r="B24" s="224" t="s">
        <v>140</v>
      </c>
      <c r="C24" s="224">
        <v>19</v>
      </c>
      <c r="D24" s="224" t="s">
        <v>383</v>
      </c>
      <c r="E24" s="225" t="str">
        <f t="shared" ca="1" si="0"/>
        <v>MR</v>
      </c>
      <c r="F24" s="365"/>
      <c r="G24" s="366">
        <f t="shared" ca="1" si="1"/>
        <v>43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5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15</v>
      </c>
      <c r="BI24" s="173" t="str">
        <f t="shared" ca="1" si="9"/>
        <v>POM</v>
      </c>
    </row>
    <row r="25" spans="1:61" ht="13.9">
      <c r="A25" s="223" t="s">
        <v>281</v>
      </c>
      <c r="B25" s="224" t="s">
        <v>140</v>
      </c>
      <c r="C25" s="224">
        <v>19</v>
      </c>
      <c r="D25" s="224" t="s">
        <v>282</v>
      </c>
      <c r="E25" s="225" t="str">
        <f t="shared" ca="1" si="0"/>
        <v>R</v>
      </c>
      <c r="F25" s="365"/>
      <c r="G25" s="366">
        <f t="shared" ca="1" si="1"/>
        <v>45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14</v>
      </c>
      <c r="AT25" s="207" t="s">
        <v>268</v>
      </c>
      <c r="AV25" s="168">
        <f t="shared" si="21"/>
        <v>23</v>
      </c>
      <c r="AW25" s="168">
        <f>COUNTIF( AV$7:AV25, AV25 )</f>
        <v>8</v>
      </c>
      <c r="AX25" s="208">
        <f t="shared" si="22"/>
        <v>23.8</v>
      </c>
      <c r="AY25" s="168">
        <f t="shared" si="23"/>
        <v>30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15</v>
      </c>
      <c r="BI25" s="173" t="str">
        <f t="shared" ca="1" si="9"/>
        <v>PNW</v>
      </c>
    </row>
    <row r="26" spans="1:61" ht="13.9">
      <c r="A26" s="223" t="s">
        <v>347</v>
      </c>
      <c r="B26" s="224" t="s">
        <v>140</v>
      </c>
      <c r="C26" s="224">
        <v>19</v>
      </c>
      <c r="D26" s="224" t="s">
        <v>348</v>
      </c>
      <c r="E26" s="225" t="str">
        <f t="shared" ca="1" si="0"/>
        <v>MR</v>
      </c>
      <c r="F26" s="365"/>
      <c r="G26" s="366">
        <f t="shared" ca="1" si="1"/>
        <v>51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14</v>
      </c>
      <c r="AT26" s="207" t="s">
        <v>270</v>
      </c>
      <c r="AV26" s="168">
        <f t="shared" si="21"/>
        <v>23</v>
      </c>
      <c r="AW26" s="168">
        <f>COUNTIF( AV$7:AV26, AV26 )</f>
        <v>9</v>
      </c>
      <c r="AX26" s="208">
        <f t="shared" si="22"/>
        <v>23.9</v>
      </c>
      <c r="AY26" s="168">
        <f t="shared" si="23"/>
        <v>31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15</v>
      </c>
      <c r="BI26" s="173" t="str">
        <f t="shared" ca="1" si="9"/>
        <v>SCG</v>
      </c>
    </row>
    <row r="27" spans="1:61" ht="13.9">
      <c r="A27" s="223" t="s">
        <v>291</v>
      </c>
      <c r="B27" s="224" t="s">
        <v>140</v>
      </c>
      <c r="C27" s="224">
        <v>19</v>
      </c>
      <c r="D27" s="224" t="s">
        <v>292</v>
      </c>
      <c r="E27" s="225" t="str">
        <f t="shared" ca="1" si="0"/>
        <v>MR</v>
      </c>
      <c r="F27" s="365"/>
      <c r="G27" s="366">
        <f t="shared" ca="1" si="1"/>
        <v>52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13</v>
      </c>
      <c r="AT27" s="207" t="s">
        <v>276</v>
      </c>
      <c r="AV27" s="168">
        <f t="shared" si="21"/>
        <v>42</v>
      </c>
      <c r="AW27" s="168">
        <f>COUNTIF( AV$7:AV27, AV27 )</f>
        <v>3</v>
      </c>
      <c r="AX27" s="208">
        <f t="shared" si="22"/>
        <v>42.3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15</v>
      </c>
      <c r="BI27" s="173" t="str">
        <f t="shared" ca="1" si="9"/>
        <v>SRE</v>
      </c>
    </row>
    <row r="28" spans="1:61" ht="13.9">
      <c r="A28" s="223" t="s">
        <v>369</v>
      </c>
      <c r="B28" s="224" t="s">
        <v>140</v>
      </c>
      <c r="C28" s="224">
        <v>19</v>
      </c>
      <c r="D28" s="224" t="s">
        <v>375</v>
      </c>
      <c r="E28" s="225" t="str">
        <f t="shared" ca="1" si="0"/>
        <v>R</v>
      </c>
      <c r="F28" s="365"/>
      <c r="G28" s="366">
        <f t="shared" ca="1" si="1"/>
        <v>54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14</v>
      </c>
      <c r="AT28" s="207" t="s">
        <v>353</v>
      </c>
      <c r="AV28" s="168">
        <f t="shared" si="21"/>
        <v>23</v>
      </c>
      <c r="AW28" s="168">
        <f>COUNTIF( AV$7:AV28, AV28 )</f>
        <v>10</v>
      </c>
      <c r="AX28" s="208">
        <f t="shared" si="22"/>
        <v>24</v>
      </c>
      <c r="AY28" s="168">
        <f t="shared" si="23"/>
        <v>32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15</v>
      </c>
      <c r="BI28" s="173" t="str">
        <f t="shared" ca="1" si="9"/>
        <v>TE</v>
      </c>
    </row>
    <row r="29" spans="1:61" ht="13.9">
      <c r="A29" s="223" t="s">
        <v>225</v>
      </c>
      <c r="B29" s="224" t="s">
        <v>141</v>
      </c>
      <c r="C29" s="224">
        <v>18</v>
      </c>
      <c r="D29" s="224" t="s">
        <v>226</v>
      </c>
      <c r="E29" s="225" t="str">
        <f t="shared" ca="1" si="0"/>
        <v>R</v>
      </c>
      <c r="F29" s="365"/>
      <c r="G29" s="366">
        <f t="shared" ca="1" si="1"/>
        <v>9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9"/>
        <v/>
      </c>
      <c r="AJ29" s="169">
        <f t="shared" ca="1" si="4"/>
        <v>45</v>
      </c>
      <c r="AK29" s="169" t="str">
        <f t="shared" ca="1" si="20"/>
        <v>BBB-</v>
      </c>
      <c r="AL29" s="169">
        <f t="shared" ca="1" si="20"/>
        <v>17</v>
      </c>
      <c r="AM29" s="169" t="str">
        <f t="shared" ca="1" si="5"/>
        <v>Change</v>
      </c>
      <c r="AQ29" s="207" t="s">
        <v>279</v>
      </c>
      <c r="AR29" s="207" t="s">
        <v>142</v>
      </c>
      <c r="AS29" s="207">
        <v>13</v>
      </c>
      <c r="AT29" s="207" t="s">
        <v>280</v>
      </c>
      <c r="AV29" s="168">
        <f t="shared" si="21"/>
        <v>42</v>
      </c>
      <c r="AW29" s="168">
        <f>COUNTIF( AV$7:AV29, AV29 )</f>
        <v>4</v>
      </c>
      <c r="AX29" s="208">
        <f t="shared" si="22"/>
        <v>42.4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3</v>
      </c>
      <c r="BF29" s="173" t="str">
        <f t="shared" ca="1" si="8"/>
        <v>Ameren Corporation</v>
      </c>
      <c r="BG29" s="173" t="str">
        <f t="shared" ca="1" si="9"/>
        <v>BBB</v>
      </c>
      <c r="BH29" s="173">
        <f t="shared" ca="1" si="9"/>
        <v>14</v>
      </c>
      <c r="BI29" s="173" t="str">
        <f t="shared" ca="1" si="9"/>
        <v>AEE</v>
      </c>
    </row>
    <row r="30" spans="1:61" ht="13.9">
      <c r="A30" s="223" t="s">
        <v>222</v>
      </c>
      <c r="B30" s="224" t="s">
        <v>141</v>
      </c>
      <c r="C30" s="224">
        <v>18</v>
      </c>
      <c r="D30" s="224" t="s">
        <v>223</v>
      </c>
      <c r="E30" s="225" t="str">
        <f t="shared" ca="1" si="0"/>
        <v>R</v>
      </c>
      <c r="F30" s="365"/>
      <c r="G30" s="366">
        <f t="shared" ca="1" si="1"/>
        <v>10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141</v>
      </c>
      <c r="AS30" s="207">
        <v>14</v>
      </c>
      <c r="AT30" s="207" t="s">
        <v>388</v>
      </c>
      <c r="AV30" s="168">
        <f t="shared" si="21"/>
        <v>23</v>
      </c>
      <c r="AW30" s="168">
        <f>COUNTIF( AV$7:AV30, AV30 )</f>
        <v>11</v>
      </c>
      <c r="AX30" s="208">
        <f t="shared" si="22"/>
        <v>24.1</v>
      </c>
      <c r="AY30" s="168">
        <f t="shared" si="23"/>
        <v>33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14</v>
      </c>
      <c r="BI30" s="173" t="str">
        <f t="shared" ca="1" si="9"/>
        <v>AEP</v>
      </c>
    </row>
    <row r="31" spans="1:61" ht="13.9">
      <c r="A31" s="223" t="s">
        <v>238</v>
      </c>
      <c r="B31" s="224" t="s">
        <v>141</v>
      </c>
      <c r="C31" s="224">
        <v>18</v>
      </c>
      <c r="D31" s="224" t="s">
        <v>239</v>
      </c>
      <c r="E31" s="225" t="str">
        <f t="shared" ca="1" si="0"/>
        <v>R</v>
      </c>
      <c r="F31" s="365"/>
      <c r="G31" s="366">
        <f t="shared" ca="1" si="1"/>
        <v>11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14</v>
      </c>
      <c r="AT31" s="207" t="s">
        <v>284</v>
      </c>
      <c r="AV31" s="168">
        <f t="shared" si="21"/>
        <v>23</v>
      </c>
      <c r="AW31" s="168">
        <f>COUNTIF( AV$7:AV31, AV31 )</f>
        <v>12</v>
      </c>
      <c r="AX31" s="208">
        <f t="shared" si="22"/>
        <v>24.2</v>
      </c>
      <c r="AY31" s="168">
        <f t="shared" si="23"/>
        <v>34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14</v>
      </c>
      <c r="BI31" s="173" t="str">
        <f t="shared" ca="1" si="9"/>
        <v>AVA</v>
      </c>
    </row>
    <row r="32" spans="1:61" ht="13.9">
      <c r="A32" s="223" t="s">
        <v>254</v>
      </c>
      <c r="B32" s="224" t="s">
        <v>141</v>
      </c>
      <c r="C32" s="224">
        <v>18</v>
      </c>
      <c r="D32" s="224" t="s">
        <v>378</v>
      </c>
      <c r="E32" s="225" t="str">
        <f t="shared" ca="1" si="0"/>
        <v>R</v>
      </c>
      <c r="F32" s="365"/>
      <c r="G32" s="366">
        <f t="shared" ca="1" si="1"/>
        <v>16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16</v>
      </c>
      <c r="AT32" s="207" t="s">
        <v>396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14</v>
      </c>
      <c r="BI32" s="173" t="str">
        <f t="shared" ca="1" si="9"/>
        <v>CNL</v>
      </c>
    </row>
    <row r="33" spans="1:61" ht="13.9">
      <c r="A33" s="223" t="s">
        <v>256</v>
      </c>
      <c r="B33" s="224" t="s">
        <v>141</v>
      </c>
      <c r="C33" s="224">
        <v>18</v>
      </c>
      <c r="D33" s="224" t="s">
        <v>257</v>
      </c>
      <c r="E33" s="225" t="str">
        <f t="shared" ca="1" si="0"/>
        <v>R</v>
      </c>
      <c r="F33" s="365"/>
      <c r="G33" s="366">
        <f t="shared" ca="1" si="1"/>
        <v>17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>
        <f t="shared" ca="1" si="3"/>
        <v>1</v>
      </c>
      <c r="AH33" s="169" t="str">
        <f t="shared" ca="1" si="19"/>
        <v/>
      </c>
      <c r="AJ33" s="169">
        <f t="shared" ca="1" si="4"/>
        <v>47</v>
      </c>
      <c r="AK33" s="169" t="str">
        <f t="shared" ca="1" si="20"/>
        <v>BBB-</v>
      </c>
      <c r="AL33" s="169">
        <f t="shared" ca="1" si="20"/>
        <v>17</v>
      </c>
      <c r="AM33" s="169" t="str">
        <f t="shared" ca="1" si="5"/>
        <v>Change</v>
      </c>
      <c r="AQ33" s="207" t="s">
        <v>287</v>
      </c>
      <c r="AR33" s="207" t="s">
        <v>142</v>
      </c>
      <c r="AS33" s="207">
        <v>13</v>
      </c>
      <c r="AT33" s="207" t="s">
        <v>288</v>
      </c>
      <c r="AV33" s="168">
        <f t="shared" si="21"/>
        <v>42</v>
      </c>
      <c r="AW33" s="168">
        <f>COUNTIF( AV$7:AV33, AV33 )</f>
        <v>5</v>
      </c>
      <c r="AX33" s="208">
        <f t="shared" si="22"/>
        <v>42.5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9</v>
      </c>
      <c r="BF33" s="173" t="str">
        <f t="shared" ca="1" si="8"/>
        <v>CMS Energy Corporation</v>
      </c>
      <c r="BG33" s="173" t="str">
        <f t="shared" ca="1" si="9"/>
        <v>BBB</v>
      </c>
      <c r="BH33" s="173">
        <f t="shared" ca="1" si="9"/>
        <v>14</v>
      </c>
      <c r="BI33" s="173" t="str">
        <f t="shared" ca="1" si="9"/>
        <v>CMS</v>
      </c>
    </row>
    <row r="34" spans="1:61" ht="13.9">
      <c r="A34" s="223" t="s">
        <v>328</v>
      </c>
      <c r="B34" s="224" t="s">
        <v>141</v>
      </c>
      <c r="C34" s="224">
        <v>18</v>
      </c>
      <c r="D34" s="224" t="s">
        <v>331</v>
      </c>
      <c r="E34" s="225" t="str">
        <f t="shared" ca="1" si="0"/>
        <v>R</v>
      </c>
      <c r="F34" s="365"/>
      <c r="G34" s="366">
        <f t="shared" ca="1" si="1"/>
        <v>24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32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15</v>
      </c>
      <c r="AT34" s="207" t="s">
        <v>272</v>
      </c>
      <c r="AV34" s="168">
        <f t="shared" si="21"/>
        <v>11</v>
      </c>
      <c r="AW34" s="168">
        <f>COUNTIF( AV$7:AV34, AV34 )</f>
        <v>5</v>
      </c>
      <c r="AX34" s="208">
        <f t="shared" si="22"/>
        <v>11.5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14</v>
      </c>
      <c r="BI34" s="173" t="str">
        <f t="shared" ca="1" si="9"/>
        <v>EE</v>
      </c>
    </row>
    <row r="35" spans="1:61" ht="13.9">
      <c r="A35" s="223" t="s">
        <v>367</v>
      </c>
      <c r="B35" s="224" t="s">
        <v>141</v>
      </c>
      <c r="C35" s="224">
        <v>18</v>
      </c>
      <c r="D35" s="224" t="s">
        <v>368</v>
      </c>
      <c r="E35" s="225" t="str">
        <f t="shared" ca="1" si="0"/>
        <v>R</v>
      </c>
      <c r="F35" s="365"/>
      <c r="G35" s="366">
        <f t="shared" ca="1" si="1"/>
        <v>25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9"/>
        <v/>
      </c>
      <c r="AJ35" s="169">
        <f t="shared" ca="1" si="4"/>
        <v>49</v>
      </c>
      <c r="AK35" s="169" t="str">
        <f t="shared" ca="1" si="20"/>
        <v>BBB-</v>
      </c>
      <c r="AL35" s="169">
        <f t="shared" ca="1" si="20"/>
        <v>17</v>
      </c>
      <c r="AM35" s="169" t="str">
        <f t="shared" ca="1" si="5"/>
        <v>Change</v>
      </c>
      <c r="AQ35" s="207" t="s">
        <v>408</v>
      </c>
      <c r="AR35" s="207" t="s">
        <v>140</v>
      </c>
      <c r="AS35" s="207">
        <v>15</v>
      </c>
      <c r="AT35" s="207" t="s">
        <v>216</v>
      </c>
      <c r="AV35" s="168">
        <f t="shared" si="21"/>
        <v>11</v>
      </c>
      <c r="AW35" s="168">
        <f>COUNTIF( AV$7:AV35, AV35 )</f>
        <v>6</v>
      </c>
      <c r="AX35" s="208">
        <f t="shared" si="22"/>
        <v>11.6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17</v>
      </c>
      <c r="BF35" s="173" t="str">
        <f t="shared" ca="1" si="8"/>
        <v>Empire District Electric Company</v>
      </c>
      <c r="BG35" s="173" t="str">
        <f t="shared" ca="1" si="9"/>
        <v>BBB</v>
      </c>
      <c r="BH35" s="173">
        <f t="shared" ca="1" si="9"/>
        <v>14</v>
      </c>
      <c r="BI35" s="173" t="str">
        <f t="shared" ca="1" si="9"/>
        <v>EDE</v>
      </c>
    </row>
    <row r="36" spans="1:61" ht="13.9">
      <c r="A36" s="223" t="s">
        <v>267</v>
      </c>
      <c r="B36" s="224" t="s">
        <v>141</v>
      </c>
      <c r="C36" s="224">
        <v>18</v>
      </c>
      <c r="D36" s="224" t="s">
        <v>268</v>
      </c>
      <c r="E36" s="225" t="str">
        <f t="shared" ca="1" si="0"/>
        <v>R</v>
      </c>
      <c r="F36" s="365"/>
      <c r="G36" s="366">
        <f t="shared" ca="1" si="1"/>
        <v>26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34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16</v>
      </c>
      <c r="AT36" s="207" t="s">
        <v>241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19</v>
      </c>
      <c r="BF36" s="173" t="str">
        <f t="shared" ca="1" si="8"/>
        <v>Entergy Corporation</v>
      </c>
      <c r="BG36" s="173" t="str">
        <f t="shared" ca="1" si="9"/>
        <v>BBB</v>
      </c>
      <c r="BH36" s="173">
        <f t="shared" ca="1" si="9"/>
        <v>14</v>
      </c>
      <c r="BI36" s="173" t="str">
        <f t="shared" ca="1" si="9"/>
        <v>ETR</v>
      </c>
    </row>
    <row r="37" spans="1:61" ht="13.9">
      <c r="A37" s="223" t="s">
        <v>269</v>
      </c>
      <c r="B37" s="224" t="s">
        <v>141</v>
      </c>
      <c r="C37" s="224">
        <v>18</v>
      </c>
      <c r="D37" s="224" t="s">
        <v>270</v>
      </c>
      <c r="E37" s="225" t="str">
        <f t="shared" ca="1" si="0"/>
        <v>MR</v>
      </c>
      <c r="F37" s="365"/>
      <c r="G37" s="366">
        <f t="shared" ca="1" si="1"/>
        <v>27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13</v>
      </c>
      <c r="AT37" s="207" t="s">
        <v>274</v>
      </c>
      <c r="AV37" s="168">
        <f t="shared" si="21"/>
        <v>42</v>
      </c>
      <c r="AW37" s="168">
        <f>COUNTIF( AV$7:AV37, AV37 )</f>
        <v>6</v>
      </c>
      <c r="AX37" s="208">
        <f t="shared" si="22"/>
        <v>42.6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20</v>
      </c>
      <c r="BF37" s="173" t="str">
        <f t="shared" ca="1" si="8"/>
        <v>Exelon Corporation</v>
      </c>
      <c r="BG37" s="173" t="str">
        <f t="shared" ca="1" si="9"/>
        <v>BBB</v>
      </c>
      <c r="BH37" s="173">
        <f t="shared" ca="1" si="9"/>
        <v>14</v>
      </c>
      <c r="BI37" s="173" t="str">
        <f t="shared" ca="1" si="9"/>
        <v>EXC</v>
      </c>
    </row>
    <row r="38" spans="1:61" ht="13.9">
      <c r="A38" s="223" t="s">
        <v>352</v>
      </c>
      <c r="B38" s="224" t="s">
        <v>141</v>
      </c>
      <c r="C38" s="224">
        <v>18</v>
      </c>
      <c r="D38" s="224" t="s">
        <v>353</v>
      </c>
      <c r="E38" s="225" t="str">
        <f t="shared" ca="1" si="0"/>
        <v>R</v>
      </c>
      <c r="F38" s="365"/>
      <c r="G38" s="366">
        <f t="shared" ca="1" si="1"/>
        <v>29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16</v>
      </c>
      <c r="AT38" s="207" t="s">
        <v>236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22</v>
      </c>
      <c r="BF38" s="173" t="str">
        <f t="shared" ca="1" si="8"/>
        <v>Great Plains Energy Inc.</v>
      </c>
      <c r="BG38" s="173" t="str">
        <f t="shared" ca="1" si="9"/>
        <v>BBB</v>
      </c>
      <c r="BH38" s="173">
        <f t="shared" ca="1" si="9"/>
        <v>14</v>
      </c>
      <c r="BI38" s="173" t="str">
        <f t="shared" ca="1" si="9"/>
        <v>GXP</v>
      </c>
    </row>
    <row r="39" spans="1:61" ht="13.9">
      <c r="A39" s="223" t="s">
        <v>387</v>
      </c>
      <c r="B39" s="224" t="s">
        <v>141</v>
      </c>
      <c r="C39" s="224">
        <v>18</v>
      </c>
      <c r="D39" s="224" t="s">
        <v>388</v>
      </c>
      <c r="E39" s="225" t="str">
        <f t="shared" ca="1" si="0"/>
        <v>R</v>
      </c>
      <c r="F39" s="365"/>
      <c r="G39" s="366">
        <f t="shared" ca="1" si="1"/>
        <v>63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33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14</v>
      </c>
      <c r="AT39" s="207" t="s">
        <v>298</v>
      </c>
      <c r="AV39" s="168">
        <f t="shared" si="21"/>
        <v>23</v>
      </c>
      <c r="AW39" s="168">
        <f>COUNTIF( AV$7:AV39, AV39 )</f>
        <v>13</v>
      </c>
      <c r="AX39" s="208">
        <f t="shared" si="22"/>
        <v>24.3</v>
      </c>
      <c r="AY39" s="168">
        <f t="shared" si="23"/>
        <v>35</v>
      </c>
      <c r="AZ39" s="169"/>
      <c r="BA39" s="169"/>
      <c r="BC39" s="168">
        <f t="shared" ca="1" si="24"/>
        <v>33</v>
      </c>
      <c r="BD39" s="209">
        <f t="shared" ca="1" si="7"/>
        <v>24</v>
      </c>
      <c r="BF39" s="173" t="str">
        <f t="shared" ref="BF39:BF63" ca="1" si="25">OFFSET( AQ$6, $BD39, 0 )</f>
        <v>Iberdrola USA</v>
      </c>
      <c r="BG39" s="173" t="str">
        <f t="shared" ca="1" si="9"/>
        <v>BBB</v>
      </c>
      <c r="BH39" s="173">
        <f t="shared" ca="1" si="9"/>
        <v>14</v>
      </c>
      <c r="BI39" s="173" t="str">
        <f t="shared" ca="1" si="9"/>
        <v>**EAST</v>
      </c>
    </row>
    <row r="40" spans="1:61" ht="13.9">
      <c r="A40" s="223" t="s">
        <v>283</v>
      </c>
      <c r="B40" s="224" t="s">
        <v>141</v>
      </c>
      <c r="C40" s="224">
        <v>18</v>
      </c>
      <c r="D40" s="224" t="s">
        <v>284</v>
      </c>
      <c r="E40" s="225" t="str">
        <f t="shared" ca="1" si="0"/>
        <v>R</v>
      </c>
      <c r="F40" s="365"/>
      <c r="G40" s="366">
        <f t="shared" ca="1" si="1"/>
        <v>31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142</v>
      </c>
      <c r="AS40" s="207">
        <v>13</v>
      </c>
      <c r="AT40" s="207" t="s">
        <v>412</v>
      </c>
      <c r="AV40" s="168">
        <f t="shared" si="21"/>
        <v>42</v>
      </c>
      <c r="AW40" s="168">
        <f>COUNTIF( AV$7:AV40, AV40 )</f>
        <v>7</v>
      </c>
      <c r="AX40" s="208">
        <f t="shared" si="22"/>
        <v>42.7</v>
      </c>
      <c r="AY40" s="168">
        <f t="shared" si="23"/>
        <v>48</v>
      </c>
      <c r="AZ40" s="169"/>
      <c r="BA40" s="169"/>
      <c r="BC40" s="168">
        <f t="shared" ca="1" si="24"/>
        <v>34</v>
      </c>
      <c r="BD40" s="209">
        <f t="shared" ca="1" si="7"/>
        <v>25</v>
      </c>
      <c r="BF40" s="173" t="str">
        <f t="shared" ca="1" si="25"/>
        <v>IDACORP, Inc.</v>
      </c>
      <c r="BG40" s="173" t="str">
        <f t="shared" ca="1" si="9"/>
        <v>BBB</v>
      </c>
      <c r="BH40" s="173">
        <f t="shared" ca="1" si="9"/>
        <v>14</v>
      </c>
      <c r="BI40" s="173" t="str">
        <f t="shared" ca="1" si="9"/>
        <v>IDA</v>
      </c>
    </row>
    <row r="41" spans="1:61" ht="13.9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0"/>
        <v>R</v>
      </c>
      <c r="F41" s="365"/>
      <c r="G41" s="366">
        <f t="shared" ca="1" si="1"/>
        <v>38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140</v>
      </c>
      <c r="AS41" s="207">
        <v>15</v>
      </c>
      <c r="AT41" s="207" t="s">
        <v>278</v>
      </c>
      <c r="AV41" s="168">
        <f t="shared" si="21"/>
        <v>11</v>
      </c>
      <c r="AW41" s="168">
        <f>COUNTIF( AV$7:AV41, AV41 )</f>
        <v>7</v>
      </c>
      <c r="AX41" s="208">
        <f t="shared" si="22"/>
        <v>11.7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33</v>
      </c>
      <c r="BF41" s="173" t="str">
        <f t="shared" ca="1" si="25"/>
        <v>NorthWestern Corporation</v>
      </c>
      <c r="BG41" s="173" t="str">
        <f t="shared" ca="1" si="9"/>
        <v>BBB</v>
      </c>
      <c r="BH41" s="173">
        <f t="shared" ca="1" si="9"/>
        <v>14</v>
      </c>
      <c r="BI41" s="173" t="str">
        <f t="shared" ca="1" si="9"/>
        <v>NWE</v>
      </c>
    </row>
    <row r="42" spans="1:61" ht="13.9">
      <c r="A42" s="223" t="s">
        <v>301</v>
      </c>
      <c r="B42" s="224" t="s">
        <v>141</v>
      </c>
      <c r="C42" s="224">
        <v>18</v>
      </c>
      <c r="D42" s="224" t="s">
        <v>302</v>
      </c>
      <c r="E42" s="225" t="str">
        <f t="shared" ca="1" si="0"/>
        <v>R</v>
      </c>
      <c r="F42" s="365"/>
      <c r="G42" s="366">
        <f t="shared" ca="1" si="1"/>
        <v>44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142</v>
      </c>
      <c r="AS42" s="207">
        <v>13</v>
      </c>
      <c r="AT42" s="207" t="s">
        <v>300</v>
      </c>
      <c r="AV42" s="168">
        <f t="shared" si="21"/>
        <v>42</v>
      </c>
      <c r="AW42" s="168">
        <f>COUNTIF( AV$7:AV42, AV42 )</f>
        <v>8</v>
      </c>
      <c r="AX42" s="208">
        <f t="shared" si="22"/>
        <v>42.8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38</v>
      </c>
      <c r="BF42" s="173" t="str">
        <f t="shared" ca="1" si="25"/>
        <v>PG&amp;E Corporation</v>
      </c>
      <c r="BG42" s="173" t="str">
        <f t="shared" ca="1" si="9"/>
        <v>BBB</v>
      </c>
      <c r="BH42" s="173">
        <f t="shared" ca="1" si="9"/>
        <v>14</v>
      </c>
      <c r="BI42" s="173" t="str">
        <f t="shared" ca="1" si="9"/>
        <v>PCG</v>
      </c>
    </row>
    <row r="43" spans="1:61" ht="13.9">
      <c r="A43" s="223" t="s">
        <v>285</v>
      </c>
      <c r="B43" s="224" t="s">
        <v>141</v>
      </c>
      <c r="C43" s="224">
        <v>18</v>
      </c>
      <c r="D43" s="224" t="s">
        <v>286</v>
      </c>
      <c r="E43" s="225" t="str">
        <f t="shared" ca="1" si="0"/>
        <v>R</v>
      </c>
      <c r="F43" s="365"/>
      <c r="G43" s="366">
        <f t="shared" ca="1" si="1"/>
        <v>47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40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15</v>
      </c>
      <c r="AT43" s="207" t="s">
        <v>383</v>
      </c>
      <c r="AV43" s="168">
        <f t="shared" si="21"/>
        <v>11</v>
      </c>
      <c r="AW43" s="168">
        <f>COUNTIF( AV$7:AV43, AV43 )</f>
        <v>8</v>
      </c>
      <c r="AX43" s="208">
        <f t="shared" si="22"/>
        <v>11.8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41</v>
      </c>
      <c r="BF43" s="173" t="str">
        <f t="shared" ca="1" si="25"/>
        <v>Portland General Electric Company</v>
      </c>
      <c r="BG43" s="173" t="str">
        <f t="shared" ca="1" si="9"/>
        <v>BBB</v>
      </c>
      <c r="BH43" s="173">
        <f t="shared" ca="1" si="9"/>
        <v>14</v>
      </c>
      <c r="BI43" s="173" t="str">
        <f t="shared" ca="1" si="9"/>
        <v>POR</v>
      </c>
    </row>
    <row r="44" spans="1:61" ht="13.9">
      <c r="A44" s="223" t="s">
        <v>243</v>
      </c>
      <c r="B44" s="224" t="s">
        <v>141</v>
      </c>
      <c r="C44" s="224">
        <v>18</v>
      </c>
      <c r="D44" s="224" t="s">
        <v>244</v>
      </c>
      <c r="E44" s="225" t="str">
        <f t="shared" ca="1" si="0"/>
        <v>MR</v>
      </c>
      <c r="F44" s="365"/>
      <c r="G44" s="366">
        <f t="shared" ca="1" si="1"/>
        <v>48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41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14</v>
      </c>
      <c r="AT44" s="207" t="s">
        <v>302</v>
      </c>
      <c r="AV44" s="168">
        <f t="shared" si="21"/>
        <v>23</v>
      </c>
      <c r="AW44" s="168">
        <f>COUNTIF( AV$7:AV44, AV44 )</f>
        <v>14</v>
      </c>
      <c r="AX44" s="208">
        <f t="shared" si="22"/>
        <v>24.4</v>
      </c>
      <c r="AY44" s="168">
        <f t="shared" si="23"/>
        <v>36</v>
      </c>
      <c r="AZ44" s="169"/>
      <c r="BA44" s="169"/>
      <c r="BC44" s="168">
        <f t="shared" ca="1" si="24"/>
        <v>38</v>
      </c>
      <c r="BD44" s="209">
        <f t="shared" ca="1" si="7"/>
        <v>42</v>
      </c>
      <c r="BF44" s="173" t="str">
        <f t="shared" ca="1" si="25"/>
        <v>PPL Corporation</v>
      </c>
      <c r="BG44" s="173" t="str">
        <f t="shared" ca="1" si="9"/>
        <v>BBB</v>
      </c>
      <c r="BH44" s="173">
        <f t="shared" ca="1" si="9"/>
        <v>14</v>
      </c>
      <c r="BI44" s="173" t="str">
        <f t="shared" ca="1" si="9"/>
        <v>PPL</v>
      </c>
    </row>
    <row r="45" spans="1:61" ht="13.9">
      <c r="A45" s="223" t="s">
        <v>289</v>
      </c>
      <c r="B45" s="224" t="s">
        <v>141</v>
      </c>
      <c r="C45" s="224">
        <v>18</v>
      </c>
      <c r="D45" s="224" t="s">
        <v>290</v>
      </c>
      <c r="E45" s="225" t="str">
        <f t="shared" ca="1" si="0"/>
        <v>MR</v>
      </c>
      <c r="F45" s="365"/>
      <c r="G45" s="366">
        <f t="shared" ca="1" si="1"/>
        <v>50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42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281</v>
      </c>
      <c r="AR45" s="207" t="s">
        <v>140</v>
      </c>
      <c r="AS45" s="207">
        <v>15</v>
      </c>
      <c r="AT45" s="207" t="s">
        <v>282</v>
      </c>
      <c r="AV45" s="168">
        <f t="shared" si="21"/>
        <v>11</v>
      </c>
      <c r="AW45" s="168">
        <f>COUNTIF( AV$7:AV45, AV45 )</f>
        <v>9</v>
      </c>
      <c r="AX45" s="208">
        <f t="shared" si="22"/>
        <v>11.9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43</v>
      </c>
      <c r="BF45" s="173" t="str">
        <f t="shared" ca="1" si="25"/>
        <v>Public Service Enterprise Group Incorporated</v>
      </c>
      <c r="BG45" s="173" t="str">
        <f t="shared" ca="1" si="9"/>
        <v>BBB</v>
      </c>
      <c r="BH45" s="173">
        <f t="shared" ca="1" si="9"/>
        <v>14</v>
      </c>
      <c r="BI45" s="173" t="str">
        <f t="shared" ca="1" si="9"/>
        <v>PEG</v>
      </c>
    </row>
    <row r="46" spans="1:61" ht="13.9">
      <c r="A46" s="223" t="s">
        <v>389</v>
      </c>
      <c r="B46" s="224" t="s">
        <v>141</v>
      </c>
      <c r="C46" s="224">
        <v>18</v>
      </c>
      <c r="D46" s="224" t="s">
        <v>390</v>
      </c>
      <c r="E46" s="225" t="str">
        <f t="shared" ca="1" si="0"/>
        <v>R</v>
      </c>
      <c r="F46" s="365"/>
      <c r="G46" s="366">
        <f t="shared" ca="1" si="1"/>
        <v>55</v>
      </c>
      <c r="H46" s="367"/>
      <c r="I46" s="191"/>
      <c r="K46" s="191"/>
      <c r="N46" s="368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303</v>
      </c>
      <c r="AR46" s="207" t="s">
        <v>142</v>
      </c>
      <c r="AS46" s="207">
        <v>13</v>
      </c>
      <c r="AT46" s="207" t="s">
        <v>304</v>
      </c>
      <c r="AV46" s="168">
        <f t="shared" si="21"/>
        <v>42</v>
      </c>
      <c r="AW46" s="168">
        <f>COUNTIF( AV$7:AV46, AV46 )</f>
        <v>9</v>
      </c>
      <c r="AX46" s="208">
        <f t="shared" si="22"/>
        <v>42.9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49</v>
      </c>
      <c r="BF46" s="173" t="str">
        <f t="shared" ca="1" si="25"/>
        <v>UIL Holdings Corporation</v>
      </c>
      <c r="BG46" s="173" t="str">
        <f t="shared" ca="1" si="9"/>
        <v>BBB</v>
      </c>
      <c r="BH46" s="173">
        <f t="shared" ca="1" si="9"/>
        <v>14</v>
      </c>
      <c r="BI46" s="173" t="str">
        <f t="shared" ca="1" si="9"/>
        <v>UIL</v>
      </c>
    </row>
    <row r="47" spans="1:61" ht="13.9">
      <c r="A47" s="223" t="s">
        <v>354</v>
      </c>
      <c r="B47" s="224" t="s">
        <v>141</v>
      </c>
      <c r="C47" s="224">
        <v>18</v>
      </c>
      <c r="D47" s="224" t="s">
        <v>355</v>
      </c>
      <c r="E47" s="225" t="str">
        <f t="shared" ca="1" si="0"/>
        <v>R</v>
      </c>
      <c r="F47" s="365"/>
      <c r="G47" s="366">
        <f t="shared" ca="1" si="1"/>
        <v>59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285</v>
      </c>
      <c r="AR47" s="207" t="s">
        <v>141</v>
      </c>
      <c r="AS47" s="207">
        <v>14</v>
      </c>
      <c r="AT47" s="207" t="s">
        <v>286</v>
      </c>
      <c r="AV47" s="168">
        <f t="shared" si="21"/>
        <v>23</v>
      </c>
      <c r="AW47" s="168">
        <f>COUNTIF( AV$7:AV47, AV47 )</f>
        <v>15</v>
      </c>
      <c r="AX47" s="208">
        <f t="shared" si="22"/>
        <v>24.5</v>
      </c>
      <c r="AY47" s="168">
        <f t="shared" si="23"/>
        <v>37</v>
      </c>
      <c r="AZ47" s="169"/>
      <c r="BA47" s="169"/>
      <c r="BC47" s="168">
        <f t="shared" ca="1" si="24"/>
        <v>41</v>
      </c>
      <c r="BD47" s="209">
        <f t="shared" ca="1" si="7"/>
        <v>51</v>
      </c>
      <c r="BF47" s="173" t="str">
        <f t="shared" ca="1" si="25"/>
        <v>Westar Energy, Inc.</v>
      </c>
      <c r="BG47" s="173" t="str">
        <f t="shared" ca="1" si="9"/>
        <v>BBB</v>
      </c>
      <c r="BH47" s="173">
        <f t="shared" ca="1" si="9"/>
        <v>14</v>
      </c>
      <c r="BI47" s="173" t="str">
        <f t="shared" ca="1" si="9"/>
        <v>WR</v>
      </c>
    </row>
    <row r="48" spans="1:61" ht="13.9">
      <c r="A48" s="223" t="s">
        <v>245</v>
      </c>
      <c r="B48" s="224" t="s">
        <v>142</v>
      </c>
      <c r="C48" s="224">
        <v>17</v>
      </c>
      <c r="D48" s="224" t="s">
        <v>246</v>
      </c>
      <c r="E48" s="225" t="str">
        <f t="shared" ca="1" si="0"/>
        <v>MR</v>
      </c>
      <c r="F48" s="365"/>
      <c r="G48" s="366">
        <f t="shared" ca="1" si="1"/>
        <v>12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243</v>
      </c>
      <c r="AR48" s="207" t="s">
        <v>141</v>
      </c>
      <c r="AS48" s="207">
        <v>14</v>
      </c>
      <c r="AT48" s="207" t="s">
        <v>244</v>
      </c>
      <c r="AV48" s="168">
        <f t="shared" si="21"/>
        <v>23</v>
      </c>
      <c r="AW48" s="168">
        <f>COUNTIF( AV$7:AV48, AV48 )</f>
        <v>16</v>
      </c>
      <c r="AX48" s="208">
        <f t="shared" si="22"/>
        <v>24.6</v>
      </c>
      <c r="AY48" s="168">
        <f t="shared" si="23"/>
        <v>38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13</v>
      </c>
      <c r="BI48" s="173" t="str">
        <f t="shared" ca="1" si="9"/>
        <v>BKH</v>
      </c>
    </row>
    <row r="49" spans="1:61" ht="13.9">
      <c r="A49" s="223" t="s">
        <v>265</v>
      </c>
      <c r="B49" s="224" t="s">
        <v>142</v>
      </c>
      <c r="C49" s="224">
        <v>17</v>
      </c>
      <c r="D49" s="224" t="s">
        <v>266</v>
      </c>
      <c r="E49" s="225" t="str">
        <f t="shared" ca="1" si="0"/>
        <v>R</v>
      </c>
      <c r="F49" s="365"/>
      <c r="G49" s="366">
        <f t="shared" ca="1" si="1"/>
        <v>23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48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289</v>
      </c>
      <c r="AR49" s="207" t="s">
        <v>141</v>
      </c>
      <c r="AS49" s="207">
        <v>14</v>
      </c>
      <c r="AT49" s="207" t="s">
        <v>290</v>
      </c>
      <c r="AV49" s="168">
        <f t="shared" si="21"/>
        <v>23</v>
      </c>
      <c r="AW49" s="168">
        <f>COUNTIF( AV$7:AV49, AV49 )</f>
        <v>17</v>
      </c>
      <c r="AX49" s="208">
        <f t="shared" si="22"/>
        <v>24.7</v>
      </c>
      <c r="AY49" s="168">
        <f t="shared" si="23"/>
        <v>39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13</v>
      </c>
      <c r="BI49" s="173" t="str">
        <f t="shared" ca="1" si="9"/>
        <v>EIX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0"/>
        <v>MR</v>
      </c>
      <c r="F50" s="365"/>
      <c r="G50" s="366">
        <f t="shared" ca="1" si="1"/>
        <v>28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305</v>
      </c>
      <c r="AR50" s="207" t="s">
        <v>173</v>
      </c>
      <c r="AS50" s="207">
        <v>12</v>
      </c>
      <c r="AT50" s="207" t="s">
        <v>306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25"/>
        <v>FirstEnergy Corp.</v>
      </c>
      <c r="BG50" s="173" t="str">
        <f t="shared" ca="1" si="9"/>
        <v>BBB-</v>
      </c>
      <c r="BH50" s="173">
        <f t="shared" ca="1" si="9"/>
        <v>13</v>
      </c>
      <c r="BI50" s="173" t="str">
        <f t="shared" ca="1" si="9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0"/>
        <v>D</v>
      </c>
      <c r="F51" s="365"/>
      <c r="G51" s="366">
        <f t="shared" ca="1" si="1"/>
        <v>30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15</v>
      </c>
      <c r="AT51" s="207" t="s">
        <v>348</v>
      </c>
      <c r="AV51" s="168">
        <f t="shared" si="21"/>
        <v>11</v>
      </c>
      <c r="AW51" s="168">
        <f>COUNTIF( AV$7:AV51, AV51 )</f>
        <v>10</v>
      </c>
      <c r="AX51" s="208">
        <f t="shared" si="22"/>
        <v>12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25"/>
        <v>Hawaiian Electric Industries, Inc.</v>
      </c>
      <c r="BG51" s="173" t="str">
        <f t="shared" ca="1" si="9"/>
        <v>BBB-</v>
      </c>
      <c r="BH51" s="173">
        <f t="shared" ca="1" si="9"/>
        <v>13</v>
      </c>
      <c r="BI51" s="173" t="str">
        <f t="shared" ca="1" si="9"/>
        <v>HE</v>
      </c>
    </row>
    <row r="52" spans="1:61" ht="13.9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0"/>
        <v>R</v>
      </c>
      <c r="F52" s="365"/>
      <c r="G52" s="366">
        <f t="shared" ca="1" si="1"/>
        <v>66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15</v>
      </c>
      <c r="AT52" s="207" t="s">
        <v>292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25"/>
        <v>IPALCO Enterprises, Inc.</v>
      </c>
      <c r="BG52" s="173" t="str">
        <f t="shared" ca="1" si="9"/>
        <v>BBB-</v>
      </c>
      <c r="BH52" s="173">
        <f t="shared" ca="1" si="9"/>
        <v>13</v>
      </c>
      <c r="BI52" s="173" t="str">
        <f t="shared" ca="1" si="9"/>
        <v>**IPALCO</v>
      </c>
    </row>
    <row r="53" spans="1:61" ht="13.9">
      <c r="A53" s="223" t="s">
        <v>273</v>
      </c>
      <c r="B53" s="224" t="s">
        <v>142</v>
      </c>
      <c r="C53" s="224">
        <v>17</v>
      </c>
      <c r="D53" s="224" t="s">
        <v>274</v>
      </c>
      <c r="E53" s="225" t="str">
        <f t="shared" ca="1" si="0"/>
        <v>MR</v>
      </c>
      <c r="F53" s="365"/>
      <c r="G53" s="366">
        <f t="shared" ca="1" si="1"/>
        <v>36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17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25"/>
        <v>NiSource Inc.</v>
      </c>
      <c r="BG53" s="173" t="str">
        <f t="shared" ca="1" si="9"/>
        <v>BBB-</v>
      </c>
      <c r="BH53" s="173">
        <f t="shared" ca="1" si="9"/>
        <v>13</v>
      </c>
      <c r="BI53" s="173" t="str">
        <f t="shared" ca="1" si="9"/>
        <v>NI</v>
      </c>
    </row>
    <row r="54" spans="1:61" ht="13.9">
      <c r="A54" s="223" t="s">
        <v>411</v>
      </c>
      <c r="B54" s="224" t="s">
        <v>142</v>
      </c>
      <c r="C54" s="224">
        <v>17</v>
      </c>
      <c r="D54" s="224" t="s">
        <v>412</v>
      </c>
      <c r="E54" s="225" t="str">
        <f t="shared" ca="1" si="0"/>
        <v>R</v>
      </c>
      <c r="F54" s="365"/>
      <c r="G54" s="366">
        <f t="shared" ca="1" si="1"/>
        <v>40</v>
      </c>
      <c r="H54" s="367"/>
      <c r="I54" s="367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9"/>
        <v/>
      </c>
      <c r="AJ54" s="169">
        <f t="shared" ca="1" si="4"/>
        <v>56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5"/>
        <v>Change</v>
      </c>
      <c r="AQ54" s="207" t="s">
        <v>369</v>
      </c>
      <c r="AR54" s="207" t="s">
        <v>140</v>
      </c>
      <c r="AS54" s="207">
        <v>15</v>
      </c>
      <c r="AT54" s="207" t="s">
        <v>375</v>
      </c>
      <c r="AV54" s="168">
        <f t="shared" si="21"/>
        <v>11</v>
      </c>
      <c r="AW54" s="168">
        <f>COUNTIF( AV$7:AV54, AV54 )</f>
        <v>12</v>
      </c>
      <c r="AX54" s="208">
        <f t="shared" si="22"/>
        <v>12.2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34</v>
      </c>
      <c r="BF54" s="173" t="str">
        <f t="shared" ca="1" si="25"/>
        <v>NV Energy, Inc.</v>
      </c>
      <c r="BG54" s="173" t="str">
        <f t="shared" ca="1" si="9"/>
        <v>BBB-</v>
      </c>
      <c r="BH54" s="173">
        <f t="shared" ca="1" si="9"/>
        <v>13</v>
      </c>
      <c r="BI54" s="173" t="str">
        <f t="shared" ca="1" si="9"/>
        <v>NVE</v>
      </c>
    </row>
    <row r="55" spans="1:61" ht="13.9">
      <c r="A55" s="223" t="s">
        <v>299</v>
      </c>
      <c r="B55" s="224" t="s">
        <v>142</v>
      </c>
      <c r="C55" s="224">
        <v>17</v>
      </c>
      <c r="D55" s="224" t="s">
        <v>300</v>
      </c>
      <c r="E55" s="225" t="str">
        <f t="shared" ca="1" si="0"/>
        <v>MR</v>
      </c>
      <c r="F55" s="365"/>
      <c r="G55" s="366">
        <f t="shared" ca="1" si="1"/>
        <v>42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14</v>
      </c>
      <c r="AT55" s="207" t="s">
        <v>390</v>
      </c>
      <c r="AV55" s="168">
        <f t="shared" si="21"/>
        <v>23</v>
      </c>
      <c r="AW55" s="168">
        <f>COUNTIF( AV$7:AV55, AV55 )</f>
        <v>18</v>
      </c>
      <c r="AX55" s="208">
        <f t="shared" si="22"/>
        <v>24.8</v>
      </c>
      <c r="AY55" s="168">
        <f t="shared" si="23"/>
        <v>40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13</v>
      </c>
      <c r="BI55" s="173" t="str">
        <f t="shared" ca="1" si="9"/>
        <v>OTTR</v>
      </c>
    </row>
    <row r="56" spans="1:61" ht="13.9">
      <c r="A56" s="223" t="s">
        <v>303</v>
      </c>
      <c r="B56" s="224" t="s">
        <v>142</v>
      </c>
      <c r="C56" s="224">
        <v>17</v>
      </c>
      <c r="D56" s="224" t="s">
        <v>304</v>
      </c>
      <c r="E56" s="225" t="str">
        <f t="shared" ca="1" si="0"/>
        <v>R</v>
      </c>
      <c r="F56" s="365"/>
      <c r="G56" s="366">
        <f t="shared" ca="1" si="1"/>
        <v>46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16</v>
      </c>
      <c r="AT56" s="207" t="s">
        <v>346</v>
      </c>
      <c r="AV56" s="168">
        <f t="shared" si="21"/>
        <v>2</v>
      </c>
      <c r="AW56" s="168">
        <f>COUNTIF( AV$7:AV56, AV56 )</f>
        <v>7</v>
      </c>
      <c r="AX56" s="208">
        <f t="shared" si="22"/>
        <v>2.7</v>
      </c>
      <c r="AY56" s="168">
        <f t="shared" si="23"/>
        <v>8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13</v>
      </c>
      <c r="BI56" s="173" t="str">
        <f t="shared" ca="1" si="9"/>
        <v>PNM</v>
      </c>
    </row>
    <row r="57" spans="1:61" ht="13.9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0"/>
        <v>R</v>
      </c>
      <c r="F57" s="365"/>
      <c r="G57" s="366">
        <f t="shared" ca="1" si="1"/>
        <v>68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14</v>
      </c>
      <c r="AT57" s="207" t="s">
        <v>355</v>
      </c>
      <c r="AV57" s="168">
        <f t="shared" si="21"/>
        <v>23</v>
      </c>
      <c r="AW57" s="168">
        <f>COUNTIF( AV$7:AV57, AV57 )</f>
        <v>19</v>
      </c>
      <c r="AX57" s="208">
        <f t="shared" si="22"/>
        <v>24.9</v>
      </c>
      <c r="AY57" s="168">
        <f t="shared" si="23"/>
        <v>41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12</v>
      </c>
      <c r="BI57" s="173" t="str">
        <f t="shared" ca="1" si="9"/>
        <v>**PSD</v>
      </c>
    </row>
    <row r="58" spans="1:61" ht="13.9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0"/>
        <v>R</v>
      </c>
      <c r="F58" s="365"/>
      <c r="G58" s="366">
        <f t="shared" ca="1" si="1"/>
        <v>64</v>
      </c>
      <c r="H58" s="367"/>
      <c r="I58" s="367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247</v>
      </c>
      <c r="AR58" s="207" t="s">
        <v>139</v>
      </c>
      <c r="AS58" s="207">
        <v>16</v>
      </c>
      <c r="AT58" s="207" t="s">
        <v>248</v>
      </c>
      <c r="AV58" s="168">
        <f t="shared" si="21"/>
        <v>2</v>
      </c>
      <c r="AW58" s="168">
        <f>COUNTIF( AV$7:AV58, AV58 )</f>
        <v>8</v>
      </c>
      <c r="AX58" s="208">
        <f t="shared" si="22"/>
        <v>2.8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11</v>
      </c>
      <c r="BI58" s="173" t="str">
        <f t="shared" ca="1" si="9"/>
        <v>**DPL</v>
      </c>
    </row>
    <row r="59" spans="1:61" ht="13.9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65"/>
      <c r="G59" s="366">
        <f t="shared" ca="1" si="1"/>
        <v>65</v>
      </c>
      <c r="H59" s="367"/>
      <c r="I59" s="367"/>
      <c r="J59" s="191"/>
      <c r="K59" s="191"/>
      <c r="AF59" s="169">
        <f t="shared" si="2"/>
        <v>0</v>
      </c>
      <c r="AG59" s="169">
        <f t="shared" ca="1" si="3"/>
        <v>1</v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SD</v>
      </c>
      <c r="AL59" s="169">
        <f t="shared" ca="1" si="20"/>
        <v>2</v>
      </c>
      <c r="AM59" s="169" t="str">
        <f t="shared" ca="1" si="5"/>
        <v>Change</v>
      </c>
      <c r="AQ59" s="207" t="s">
        <v>251</v>
      </c>
      <c r="AR59" s="207" t="s">
        <v>139</v>
      </c>
      <c r="AS59" s="207">
        <v>16</v>
      </c>
      <c r="AT59" s="207" t="s">
        <v>252</v>
      </c>
      <c r="AV59" s="168">
        <f t="shared" si="21"/>
        <v>2</v>
      </c>
      <c r="AW59" s="168">
        <f>COUNTIF( AV$7:AV59, AV59 )</f>
        <v>9</v>
      </c>
      <c r="AX59" s="208">
        <f t="shared" si="22"/>
        <v>2.9</v>
      </c>
      <c r="AY59" s="168">
        <f t="shared" si="23"/>
        <v>10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5</v>
      </c>
      <c r="BI59" s="173" t="str">
        <f t="shared" ca="1" si="9"/>
        <v>**EFH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1"/>
        <v/>
      </c>
      <c r="H61" s="367"/>
      <c r="I61" s="367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1"/>
        <v>34</v>
      </c>
      <c r="H62" s="367"/>
      <c r="I62" s="367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9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65"/>
      <c r="G63" s="366">
        <f t="shared" ca="1" si="1"/>
        <v>15</v>
      </c>
      <c r="H63" s="367"/>
      <c r="I63" s="367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9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65"/>
      <c r="G64" s="366">
        <f t="shared" ca="1" si="1"/>
        <v>57</v>
      </c>
      <c r="H64" s="367"/>
      <c r="I64" s="367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9">
      <c r="A65" s="223" t="s">
        <v>401</v>
      </c>
      <c r="B65" s="229" t="s">
        <v>310</v>
      </c>
      <c r="C65" s="224" t="s">
        <v>310</v>
      </c>
      <c r="D65" s="224" t="s">
        <v>376</v>
      </c>
      <c r="E65" s="225" t="str">
        <f ca="1">OFFSET( INDIRECT( E$3 &amp; E$4 ), $G65 - 1, 0 )</f>
        <v>R</v>
      </c>
      <c r="F65" s="365"/>
      <c r="G65" s="366">
        <f t="shared" ca="1" si="1"/>
        <v>56</v>
      </c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>Change</v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308</v>
      </c>
      <c r="AR66" s="207" t="s">
        <v>162</v>
      </c>
      <c r="AS66" s="207">
        <v>19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418</v>
      </c>
      <c r="AR67" s="207" t="s">
        <v>166</v>
      </c>
      <c r="AS67" s="207">
        <v>17</v>
      </c>
      <c r="AT67" s="207" t="s">
        <v>417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18.285714285714285</v>
      </c>
      <c r="D68" s="201"/>
      <c r="E68" s="201"/>
      <c r="F68" s="367"/>
      <c r="H68" s="367"/>
      <c r="I68" s="367"/>
      <c r="J68" s="368"/>
      <c r="K68" s="368"/>
      <c r="AQ68" s="207" t="s">
        <v>402</v>
      </c>
      <c r="AR68" s="207" t="s">
        <v>173</v>
      </c>
      <c r="AS68" s="207">
        <v>12</v>
      </c>
      <c r="AT68" s="207" t="s">
        <v>400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Q69" s="168" t="s">
        <v>295</v>
      </c>
      <c r="AR69" s="168" t="s">
        <v>310</v>
      </c>
      <c r="AS69" s="168" t="s">
        <v>310</v>
      </c>
      <c r="AT69" s="168" t="s">
        <v>376</v>
      </c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419</v>
      </c>
      <c r="B73" s="173"/>
      <c r="D73" s="173"/>
      <c r="E73" s="173"/>
      <c r="F73" s="204"/>
      <c r="H73" s="204"/>
      <c r="I73" s="204"/>
    </row>
    <row r="74" spans="1:58">
      <c r="A74" s="205" t="s">
        <v>314</v>
      </c>
      <c r="B74" s="173"/>
      <c r="D74" s="173"/>
      <c r="E74" s="173"/>
      <c r="F74" s="204"/>
      <c r="H74" s="204"/>
      <c r="I74" s="204"/>
    </row>
    <row r="75" spans="1:58">
      <c r="A75" s="205" t="s">
        <v>403</v>
      </c>
      <c r="D75" s="204"/>
      <c r="F75" s="206"/>
      <c r="H75" s="206"/>
      <c r="I75" s="206"/>
    </row>
    <row r="76" spans="1:58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D77" s="204"/>
      <c r="F77" s="206"/>
      <c r="H77" s="206"/>
      <c r="I77" s="206"/>
      <c r="AQ77" s="207"/>
      <c r="AR77" s="207"/>
      <c r="AS77" s="207"/>
    </row>
    <row r="78" spans="1:58">
      <c r="A78" s="203"/>
      <c r="AQ78" s="207"/>
      <c r="AR78" s="207"/>
      <c r="AS78" s="207"/>
    </row>
    <row r="79" spans="1:58">
      <c r="C79" s="190">
        <f>SUMPRODUCT( L8:L13, Y8:Y13 ) / L14</f>
        <v>18.392857142857142</v>
      </c>
      <c r="E79" s="191"/>
      <c r="G79" s="370"/>
      <c r="J79" s="173"/>
      <c r="K79" s="173"/>
      <c r="AQ79" s="207"/>
      <c r="AR79" s="207"/>
      <c r="AS79" s="207"/>
    </row>
    <row r="80" spans="1:58" s="173" customFormat="1" ht="13.9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>
      <c r="AQ81" s="207"/>
      <c r="AR81" s="207"/>
      <c r="AS81" s="207"/>
    </row>
    <row r="82" spans="43:45">
      <c r="AQ82" s="207"/>
      <c r="AR82" s="207"/>
      <c r="AS82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-- 2012 Q4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Reg_Percent_2011</v>
      </c>
      <c r="G2" s="172" t="s">
        <v>414</v>
      </c>
      <c r="AJ2" s="173" t="str">
        <f>AJ4 &amp; AJ3</f>
        <v>'Credit_2012Q3'!a:a</v>
      </c>
      <c r="AK2" s="173" t="str">
        <f>AK4 &amp; AK3</f>
        <v>'Credit_2012Q3'!b1</v>
      </c>
      <c r="AL2" s="173" t="str">
        <f>AL4 &amp; AL3</f>
        <v>'Credit_2012Q3'!c1</v>
      </c>
    </row>
    <row r="3" spans="1:61" ht="18" hidden="1" outlineLevel="1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420</v>
      </c>
      <c r="AK4" s="169" t="str">
        <f>AJ4</f>
        <v>'Credit_2012Q3'!</v>
      </c>
      <c r="AL4" s="169" t="str">
        <f>AK4</f>
        <v>'Credit_2012Q3'!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(56)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(3)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51</v>
      </c>
      <c r="C6" s="249" t="s">
        <v>214</v>
      </c>
      <c r="D6" s="221"/>
      <c r="E6" s="222">
        <v>40908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38" ca="1" si="0">OFFSET( INDIRECT( E$3 &amp; E$4 ), $G7 - 1, 0 )</f>
        <v>R</v>
      </c>
      <c r="F7" s="365"/>
      <c r="G7" s="366">
        <f t="shared" ref="G7:G38" ca="1" si="1">IF( LEN( $D7 ) = 0, "", MATCH( $D7, INDIRECT( G$3 &amp; G$4 ), 0 ) )</f>
        <v>53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38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38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38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9">
      <c r="A8" s="223" t="s">
        <v>227</v>
      </c>
      <c r="B8" s="224" t="s">
        <v>139</v>
      </c>
      <c r="C8" s="224">
        <v>20</v>
      </c>
      <c r="D8" s="224" t="s">
        <v>228</v>
      </c>
      <c r="E8" s="225" t="str">
        <f t="shared" ca="1" si="0"/>
        <v>R</v>
      </c>
      <c r="F8" s="365"/>
      <c r="G8" s="366">
        <f t="shared" ca="1" si="1"/>
        <v>18</v>
      </c>
      <c r="H8" s="367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9">
      <c r="A9" s="223" t="s">
        <v>361</v>
      </c>
      <c r="B9" s="224" t="s">
        <v>139</v>
      </c>
      <c r="C9" s="224">
        <v>20</v>
      </c>
      <c r="D9" s="224" t="s">
        <v>194</v>
      </c>
      <c r="E9" s="225" t="str">
        <f t="shared" ca="1" si="0"/>
        <v>MR</v>
      </c>
      <c r="F9" s="365"/>
      <c r="G9" s="366">
        <f t="shared" ca="1" si="1"/>
        <v>20</v>
      </c>
      <c r="H9" s="367"/>
      <c r="I9" s="234"/>
      <c r="J9" s="215" t="s">
        <v>139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8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9">
      <c r="A10" s="223" t="s">
        <v>395</v>
      </c>
      <c r="B10" s="224" t="s">
        <v>139</v>
      </c>
      <c r="C10" s="224">
        <v>20</v>
      </c>
      <c r="D10" s="224" t="s">
        <v>396</v>
      </c>
      <c r="E10" s="225" t="str">
        <f t="shared" ca="1" si="0"/>
        <v>R</v>
      </c>
      <c r="F10" s="365"/>
      <c r="G10" s="366">
        <f t="shared" ca="1" si="1"/>
        <v>32</v>
      </c>
      <c r="H10" s="367"/>
      <c r="I10" s="234"/>
      <c r="J10" s="215" t="s">
        <v>140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3.9">
      <c r="A11" s="223" t="s">
        <v>240</v>
      </c>
      <c r="B11" s="224" t="s">
        <v>139</v>
      </c>
      <c r="C11" s="224">
        <v>20</v>
      </c>
      <c r="D11" s="224" t="s">
        <v>241</v>
      </c>
      <c r="E11" s="225" t="str">
        <f t="shared" ca="1" si="0"/>
        <v>MR</v>
      </c>
      <c r="F11" s="365"/>
      <c r="G11" s="366">
        <f t="shared" ca="1" si="1"/>
        <v>35</v>
      </c>
      <c r="H11" s="367"/>
      <c r="I11" s="234"/>
      <c r="J11" s="215" t="s">
        <v>141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3.9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0"/>
        <v>R</v>
      </c>
      <c r="F12" s="365"/>
      <c r="G12" s="366">
        <f t="shared" ca="1" si="1"/>
        <v>37</v>
      </c>
      <c r="H12" s="367"/>
      <c r="I12" s="234"/>
      <c r="J12" s="215" t="s">
        <v>142</v>
      </c>
      <c r="K12" s="234"/>
      <c r="L12" s="215">
        <f t="shared" si="10"/>
        <v>11</v>
      </c>
      <c r="M12" s="216">
        <f t="shared" si="11"/>
        <v>0.19642857142857142</v>
      </c>
      <c r="N12" s="234"/>
      <c r="O12" s="215">
        <f t="shared" ca="1" si="12"/>
        <v>6</v>
      </c>
      <c r="P12" s="216">
        <f t="shared" ca="1" si="13"/>
        <v>0.16666666666666666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3.9">
      <c r="A13" s="223" t="s">
        <v>345</v>
      </c>
      <c r="B13" s="224" t="s">
        <v>139</v>
      </c>
      <c r="C13" s="224">
        <v>20</v>
      </c>
      <c r="D13" s="224" t="s">
        <v>346</v>
      </c>
      <c r="E13" s="225" t="str">
        <f t="shared" ca="1" si="0"/>
        <v>R</v>
      </c>
      <c r="F13" s="365"/>
      <c r="G13" s="366">
        <f t="shared" ca="1" si="1"/>
        <v>58</v>
      </c>
      <c r="H13" s="367"/>
      <c r="I13" s="235"/>
      <c r="J13" s="217" t="s">
        <v>143</v>
      </c>
      <c r="K13" s="235"/>
      <c r="L13" s="217">
        <f t="shared" si="10"/>
        <v>5</v>
      </c>
      <c r="M13" s="218">
        <f t="shared" si="11"/>
        <v>8.9285714285714288E-2</v>
      </c>
      <c r="N13" s="235"/>
      <c r="O13" s="217">
        <f t="shared" ca="1" si="12"/>
        <v>4</v>
      </c>
      <c r="P13" s="218">
        <f t="shared" ca="1" si="13"/>
        <v>0.1111111111111111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3.9">
      <c r="A14" s="223" t="s">
        <v>247</v>
      </c>
      <c r="B14" s="224" t="s">
        <v>139</v>
      </c>
      <c r="C14" s="224">
        <v>20</v>
      </c>
      <c r="D14" s="224" t="s">
        <v>248</v>
      </c>
      <c r="E14" s="225" t="str">
        <f t="shared" ca="1" si="0"/>
        <v>R</v>
      </c>
      <c r="F14" s="365"/>
      <c r="G14" s="366">
        <f t="shared" ca="1" si="1"/>
        <v>60</v>
      </c>
      <c r="H14" s="367"/>
      <c r="I14" s="236"/>
      <c r="J14" s="211" t="s">
        <v>144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18.303571428571427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3.9">
      <c r="A15" s="223" t="s">
        <v>251</v>
      </c>
      <c r="B15" s="224" t="s">
        <v>139</v>
      </c>
      <c r="C15" s="224">
        <v>20</v>
      </c>
      <c r="D15" s="224" t="s">
        <v>252</v>
      </c>
      <c r="E15" s="225" t="str">
        <f t="shared" ca="1" si="0"/>
        <v>R</v>
      </c>
      <c r="F15" s="365"/>
      <c r="G15" s="366">
        <f t="shared" ca="1" si="1"/>
        <v>61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3.9">
      <c r="A16" s="223" t="s">
        <v>217</v>
      </c>
      <c r="B16" s="224" t="s">
        <v>140</v>
      </c>
      <c r="C16" s="224">
        <v>19</v>
      </c>
      <c r="D16" s="224" t="s">
        <v>218</v>
      </c>
      <c r="E16" s="225" t="str">
        <f t="shared" ca="1" si="0"/>
        <v>R</v>
      </c>
      <c r="F16" s="365"/>
      <c r="G16" s="366">
        <f t="shared" ca="1" si="1"/>
        <v>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18.071428571428573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18.222222222222221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18.705882352941178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12.666666666666666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3.9">
      <c r="A17" s="223" t="s">
        <v>219</v>
      </c>
      <c r="B17" s="224" t="s">
        <v>140</v>
      </c>
      <c r="C17" s="224">
        <v>19</v>
      </c>
      <c r="D17" s="224" t="s">
        <v>220</v>
      </c>
      <c r="E17" s="225" t="str">
        <f t="shared" ca="1" si="0"/>
        <v>R</v>
      </c>
      <c r="F17" s="365"/>
      <c r="G17" s="366">
        <f t="shared" ca="1" si="1"/>
        <v>8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17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3.9">
      <c r="A18" s="223" t="s">
        <v>249</v>
      </c>
      <c r="B18" s="224" t="s">
        <v>140</v>
      </c>
      <c r="C18" s="224">
        <v>19</v>
      </c>
      <c r="D18" s="224" t="s">
        <v>250</v>
      </c>
      <c r="E18" s="225" t="str">
        <f t="shared" ca="1" si="0"/>
        <v>MR</v>
      </c>
      <c r="F18" s="365"/>
      <c r="G18" s="366">
        <f t="shared" ca="1" si="1"/>
        <v>13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3.9">
      <c r="A19" s="223" t="s">
        <v>261</v>
      </c>
      <c r="B19" s="224" t="s">
        <v>140</v>
      </c>
      <c r="C19" s="224">
        <v>19</v>
      </c>
      <c r="D19" s="224" t="s">
        <v>262</v>
      </c>
      <c r="E19" s="225" t="str">
        <f t="shared" ca="1" si="0"/>
        <v>R</v>
      </c>
      <c r="F19" s="365"/>
      <c r="G19" s="366">
        <f t="shared" ca="1" si="1"/>
        <v>21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3.9">
      <c r="A20" s="223" t="s">
        <v>263</v>
      </c>
      <c r="B20" s="224" t="s">
        <v>140</v>
      </c>
      <c r="C20" s="224">
        <v>19</v>
      </c>
      <c r="D20" s="224" t="s">
        <v>264</v>
      </c>
      <c r="E20" s="225" t="str">
        <f t="shared" ca="1" si="0"/>
        <v>MR</v>
      </c>
      <c r="F20" s="365"/>
      <c r="G20" s="366">
        <f t="shared" ca="1" si="1"/>
        <v>22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3.9">
      <c r="A21" s="223" t="s">
        <v>271</v>
      </c>
      <c r="B21" s="224" t="s">
        <v>140</v>
      </c>
      <c r="C21" s="224">
        <v>19</v>
      </c>
      <c r="D21" s="224" t="s">
        <v>272</v>
      </c>
      <c r="E21" s="225" t="str">
        <f t="shared" ca="1" si="0"/>
        <v>D</v>
      </c>
      <c r="F21" s="365"/>
      <c r="G21" s="366">
        <f t="shared" ca="1" si="1"/>
        <v>33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22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39</v>
      </c>
      <c r="AW21" s="168">
        <f>COUNTIF( AV$7:AV21, AV21 )</f>
        <v>4</v>
      </c>
      <c r="AX21" s="208">
        <f t="shared" si="22"/>
        <v>39.4</v>
      </c>
      <c r="AY21" s="168">
        <f t="shared" si="23"/>
        <v>42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MDU</v>
      </c>
    </row>
    <row r="22" spans="1:61" ht="13.9">
      <c r="A22" s="223" t="s">
        <v>408</v>
      </c>
      <c r="B22" s="224" t="s">
        <v>140</v>
      </c>
      <c r="C22" s="224">
        <v>19</v>
      </c>
      <c r="D22" s="224" t="s">
        <v>216</v>
      </c>
      <c r="E22" s="225" t="str">
        <f t="shared" ca="1" si="0"/>
        <v>MR</v>
      </c>
      <c r="F22" s="365"/>
      <c r="G22" s="366">
        <f t="shared" ca="1" si="1"/>
        <v>67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**BRK</v>
      </c>
    </row>
    <row r="23" spans="1:61" ht="13.9">
      <c r="A23" s="223" t="s">
        <v>277</v>
      </c>
      <c r="B23" s="224" t="s">
        <v>140</v>
      </c>
      <c r="C23" s="224">
        <v>19</v>
      </c>
      <c r="D23" s="224" t="s">
        <v>278</v>
      </c>
      <c r="E23" s="225" t="str">
        <f t="shared" ca="1" si="0"/>
        <v>MR</v>
      </c>
      <c r="F23" s="365"/>
      <c r="G23" s="366">
        <f t="shared" ca="1" si="1"/>
        <v>41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39</v>
      </c>
      <c r="AW23" s="168">
        <f>COUNTIF( AV$7:AV23, AV23 )</f>
        <v>5</v>
      </c>
      <c r="AX23" s="208">
        <f t="shared" si="22"/>
        <v>39.5</v>
      </c>
      <c r="AY23" s="168">
        <f t="shared" si="23"/>
        <v>43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OGE</v>
      </c>
    </row>
    <row r="24" spans="1:61" ht="13.9">
      <c r="A24" s="223" t="s">
        <v>382</v>
      </c>
      <c r="B24" s="224" t="s">
        <v>140</v>
      </c>
      <c r="C24" s="224">
        <v>19</v>
      </c>
      <c r="D24" s="224" t="s">
        <v>383</v>
      </c>
      <c r="E24" s="225" t="str">
        <f t="shared" ca="1" si="0"/>
        <v>MR</v>
      </c>
      <c r="F24" s="365"/>
      <c r="G24" s="366">
        <f t="shared" ca="1" si="1"/>
        <v>43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421</v>
      </c>
      <c r="AS24" s="207">
        <v>2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3.9">
      <c r="A25" s="223" t="s">
        <v>281</v>
      </c>
      <c r="B25" s="224" t="s">
        <v>140</v>
      </c>
      <c r="C25" s="224">
        <v>19</v>
      </c>
      <c r="D25" s="224" t="s">
        <v>282</v>
      </c>
      <c r="E25" s="225" t="str">
        <f t="shared" ca="1" si="0"/>
        <v>R</v>
      </c>
      <c r="F25" s="365"/>
      <c r="G25" s="366">
        <f t="shared" ca="1" si="1"/>
        <v>45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>
        <f t="shared" ca="1" si="3"/>
        <v>1</v>
      </c>
      <c r="AH25" s="169" t="str">
        <f t="shared" ca="1" si="19"/>
        <v/>
      </c>
      <c r="AJ25" s="169">
        <f t="shared" ca="1" si="4"/>
        <v>39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5"/>
        <v>Change</v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3.9">
      <c r="A26" s="223" t="s">
        <v>347</v>
      </c>
      <c r="B26" s="224" t="s">
        <v>140</v>
      </c>
      <c r="C26" s="224">
        <v>19</v>
      </c>
      <c r="D26" s="224" t="s">
        <v>348</v>
      </c>
      <c r="E26" s="225" t="str">
        <f t="shared" ca="1" si="0"/>
        <v>MR</v>
      </c>
      <c r="F26" s="365"/>
      <c r="G26" s="366">
        <f t="shared" ca="1" si="1"/>
        <v>51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3.9">
      <c r="A27" s="223" t="s">
        <v>291</v>
      </c>
      <c r="B27" s="224" t="s">
        <v>140</v>
      </c>
      <c r="C27" s="224">
        <v>19</v>
      </c>
      <c r="D27" s="224" t="s">
        <v>292</v>
      </c>
      <c r="E27" s="225" t="str">
        <f t="shared" ca="1" si="0"/>
        <v>MR</v>
      </c>
      <c r="F27" s="365"/>
      <c r="G27" s="366">
        <f t="shared" ca="1" si="1"/>
        <v>52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39</v>
      </c>
      <c r="AW27" s="168">
        <f>COUNTIF( AV$7:AV27, AV27 )</f>
        <v>6</v>
      </c>
      <c r="AX27" s="208">
        <f t="shared" si="22"/>
        <v>39.6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3.9">
      <c r="A28" s="223" t="s">
        <v>369</v>
      </c>
      <c r="B28" s="224" t="s">
        <v>140</v>
      </c>
      <c r="C28" s="224">
        <v>19</v>
      </c>
      <c r="D28" s="224" t="s">
        <v>375</v>
      </c>
      <c r="E28" s="225" t="str">
        <f t="shared" ca="1" si="0"/>
        <v>R</v>
      </c>
      <c r="F28" s="365"/>
      <c r="G28" s="366">
        <f t="shared" ca="1" si="1"/>
        <v>54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3.9">
      <c r="A29" s="223" t="s">
        <v>222</v>
      </c>
      <c r="B29" s="224" t="s">
        <v>141</v>
      </c>
      <c r="C29" s="224">
        <v>18</v>
      </c>
      <c r="D29" s="224" t="s">
        <v>223</v>
      </c>
      <c r="E29" s="225" t="str">
        <f t="shared" ca="1" si="0"/>
        <v>R</v>
      </c>
      <c r="F29" s="365"/>
      <c r="G29" s="366">
        <f t="shared" ca="1" si="1"/>
        <v>10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39</v>
      </c>
      <c r="AW29" s="168">
        <f>COUNTIF( AV$7:AV29, AV29 )</f>
        <v>7</v>
      </c>
      <c r="AX29" s="208">
        <f t="shared" si="22"/>
        <v>39.700000000000003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3.9">
      <c r="A30" s="223" t="s">
        <v>238</v>
      </c>
      <c r="B30" s="224" t="s">
        <v>141</v>
      </c>
      <c r="C30" s="224">
        <v>18</v>
      </c>
      <c r="D30" s="224" t="s">
        <v>239</v>
      </c>
      <c r="E30" s="225" t="str">
        <f t="shared" ca="1" si="0"/>
        <v>R</v>
      </c>
      <c r="F30" s="365"/>
      <c r="G30" s="366">
        <f t="shared" ca="1" si="1"/>
        <v>11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23</v>
      </c>
      <c r="AW30" s="168">
        <f>COUNTIF( AV$7:AV30, AV30 )</f>
        <v>8</v>
      </c>
      <c r="AX30" s="208">
        <f t="shared" si="22"/>
        <v>23.8</v>
      </c>
      <c r="AY30" s="168">
        <f t="shared" si="23"/>
        <v>30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3.9">
      <c r="A31" s="223" t="s">
        <v>254</v>
      </c>
      <c r="B31" s="224" t="s">
        <v>141</v>
      </c>
      <c r="C31" s="224">
        <v>18</v>
      </c>
      <c r="D31" s="224" t="s">
        <v>378</v>
      </c>
      <c r="E31" s="225" t="str">
        <f t="shared" ca="1" si="0"/>
        <v>R</v>
      </c>
      <c r="F31" s="365"/>
      <c r="G31" s="366">
        <f t="shared" ca="1" si="1"/>
        <v>16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23</v>
      </c>
      <c r="AW31" s="168">
        <f>COUNTIF( AV$7:AV31, AV31 )</f>
        <v>9</v>
      </c>
      <c r="AX31" s="208">
        <f t="shared" si="22"/>
        <v>23.9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3.9">
      <c r="A32" s="223" t="s">
        <v>328</v>
      </c>
      <c r="B32" s="224" t="s">
        <v>141</v>
      </c>
      <c r="C32" s="224">
        <v>18</v>
      </c>
      <c r="D32" s="224" t="s">
        <v>331</v>
      </c>
      <c r="E32" s="225" t="str">
        <f t="shared" ca="1" si="0"/>
        <v>R</v>
      </c>
      <c r="F32" s="365"/>
      <c r="G32" s="366">
        <f t="shared" ca="1" si="1"/>
        <v>24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3.9">
      <c r="A33" s="223" t="s">
        <v>387</v>
      </c>
      <c r="B33" s="224" t="s">
        <v>141</v>
      </c>
      <c r="C33" s="224">
        <v>18</v>
      </c>
      <c r="D33" s="224" t="s">
        <v>388</v>
      </c>
      <c r="E33" s="225" t="str">
        <f t="shared" ca="1" si="0"/>
        <v>R</v>
      </c>
      <c r="F33" s="365"/>
      <c r="G33" s="366">
        <f t="shared" ca="1" si="1"/>
        <v>63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9"/>
        <v>1</v>
      </c>
      <c r="AJ33" s="169">
        <f t="shared" ca="1" si="4"/>
        <v>21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5"/>
        <v>Change</v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39</v>
      </c>
      <c r="AW33" s="168">
        <f>COUNTIF( AV$7:AV33, AV33 )</f>
        <v>8</v>
      </c>
      <c r="AX33" s="208">
        <f t="shared" si="22"/>
        <v>39.799999999999997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3.9">
      <c r="A34" s="223" t="s">
        <v>267</v>
      </c>
      <c r="B34" s="224" t="s">
        <v>141</v>
      </c>
      <c r="C34" s="224">
        <v>18</v>
      </c>
      <c r="D34" s="224" t="s">
        <v>268</v>
      </c>
      <c r="E34" s="225" t="str">
        <f t="shared" ca="1" si="0"/>
        <v>R</v>
      </c>
      <c r="F34" s="365"/>
      <c r="G34" s="366">
        <f t="shared" ca="1" si="1"/>
        <v>26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10</v>
      </c>
      <c r="AW34" s="168">
        <f>COUNTIF( AV$7:AV34, AV34 )</f>
        <v>6</v>
      </c>
      <c r="AX34" s="208">
        <f t="shared" si="22"/>
        <v>10.6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3.9">
      <c r="A35" s="223" t="s">
        <v>269</v>
      </c>
      <c r="B35" s="224" t="s">
        <v>141</v>
      </c>
      <c r="C35" s="224">
        <v>18</v>
      </c>
      <c r="D35" s="224" t="s">
        <v>270</v>
      </c>
      <c r="E35" s="225" t="str">
        <f t="shared" ca="1" si="0"/>
        <v>MR</v>
      </c>
      <c r="F35" s="365"/>
      <c r="G35" s="366">
        <f t="shared" ca="1" si="1"/>
        <v>27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10</v>
      </c>
      <c r="AW35" s="168">
        <f>COUNTIF( AV$7:AV35, AV35 )</f>
        <v>7</v>
      </c>
      <c r="AX35" s="208">
        <f t="shared" si="22"/>
        <v>10.7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3.9">
      <c r="A36" s="223" t="s">
        <v>352</v>
      </c>
      <c r="B36" s="224" t="s">
        <v>141</v>
      </c>
      <c r="C36" s="224">
        <v>18</v>
      </c>
      <c r="D36" s="224" t="s">
        <v>353</v>
      </c>
      <c r="E36" s="225" t="str">
        <f t="shared" ca="1" si="0"/>
        <v>R</v>
      </c>
      <c r="F36" s="365"/>
      <c r="G36" s="366">
        <f t="shared" ca="1" si="1"/>
        <v>29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24</v>
      </c>
      <c r="BF36" s="173" t="str">
        <f t="shared" ca="1" si="8"/>
        <v>Iberdrola USA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**EAST</v>
      </c>
    </row>
    <row r="37" spans="1:61" ht="13.9">
      <c r="A37" s="223" t="s">
        <v>283</v>
      </c>
      <c r="B37" s="224" t="s">
        <v>141</v>
      </c>
      <c r="C37" s="224">
        <v>18</v>
      </c>
      <c r="D37" s="224" t="s">
        <v>284</v>
      </c>
      <c r="E37" s="225" t="str">
        <f t="shared" ca="1" si="0"/>
        <v>R</v>
      </c>
      <c r="F37" s="365"/>
      <c r="G37" s="366">
        <f t="shared" ca="1" si="1"/>
        <v>31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39</v>
      </c>
      <c r="AW37" s="168">
        <f>COUNTIF( AV$7:AV37, AV37 )</f>
        <v>9</v>
      </c>
      <c r="AX37" s="208">
        <f t="shared" si="22"/>
        <v>39.9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3.9">
      <c r="A38" s="223" t="s">
        <v>297</v>
      </c>
      <c r="B38" s="224" t="s">
        <v>141</v>
      </c>
      <c r="C38" s="224">
        <v>18</v>
      </c>
      <c r="D38" s="224" t="s">
        <v>298</v>
      </c>
      <c r="E38" s="225" t="str">
        <f t="shared" ca="1" si="0"/>
        <v>R</v>
      </c>
      <c r="F38" s="365"/>
      <c r="G38" s="366">
        <f t="shared" ca="1" si="1"/>
        <v>38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3.9">
      <c r="A39" s="223" t="s">
        <v>301</v>
      </c>
      <c r="B39" s="224" t="s">
        <v>141</v>
      </c>
      <c r="C39" s="224">
        <v>18</v>
      </c>
      <c r="D39" s="224" t="s">
        <v>302</v>
      </c>
      <c r="E39" s="225" t="str">
        <f t="shared" ref="E39:E59" ca="1" si="25">OFFSET( INDIRECT( E$3 &amp; E$4 ), $G39 - 1, 0 )</f>
        <v>R</v>
      </c>
      <c r="F39" s="365"/>
      <c r="G39" s="366">
        <f t="shared" ref="G39:G65" ca="1" si="26">IF( LEN( $D39 ) = 0, "", MATCH( $D39, INDIRECT( G$3 &amp; G$4 ), 0 ) )</f>
        <v>44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ref="AF39:AF67" si="27">IF( LEN( C39 ) = 0, 0, IF( C39 = C38, AF38, IF( AF38 = 1, 0, 1 ) ) )</f>
        <v>0</v>
      </c>
      <c r="AG39" s="169" t="str">
        <f t="shared" ca="1" si="3"/>
        <v/>
      </c>
      <c r="AH39" s="169" t="str">
        <f t="shared" ca="1" si="19"/>
        <v/>
      </c>
      <c r="AJ39" s="169">
        <f t="shared" ref="AJ39:AJ67" ca="1" si="28">MATCH( $A39, INDIRECT( AJ$2 ), 0 )</f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ref="AM39:AM67" ca="1" si="29">IF( B39 = AK39, "", "Change" )</f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23</v>
      </c>
      <c r="AW39" s="168">
        <f>COUNTIF( AV$7:AV39, AV39 )</f>
        <v>10</v>
      </c>
      <c r="AX39" s="208">
        <f t="shared" si="22"/>
        <v>24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30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3.9">
      <c r="A40" s="223" t="s">
        <v>285</v>
      </c>
      <c r="B40" s="224" t="s">
        <v>141</v>
      </c>
      <c r="C40" s="224">
        <v>18</v>
      </c>
      <c r="D40" s="224" t="s">
        <v>286</v>
      </c>
      <c r="E40" s="225" t="str">
        <f t="shared" ca="1" si="25"/>
        <v>R</v>
      </c>
      <c r="F40" s="365"/>
      <c r="G40" s="366">
        <f t="shared" ca="1" si="26"/>
        <v>47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7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8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29"/>
        <v/>
      </c>
      <c r="AQ40" s="207" t="s">
        <v>411</v>
      </c>
      <c r="AR40" s="207" t="s">
        <v>173</v>
      </c>
      <c r="AS40" s="207">
        <v>16</v>
      </c>
      <c r="AT40" s="207" t="s">
        <v>412</v>
      </c>
      <c r="AV40" s="168">
        <f t="shared" si="21"/>
        <v>50</v>
      </c>
      <c r="AW40" s="168">
        <f>COUNTIF( AV$7:AV40, AV40 )</f>
        <v>1</v>
      </c>
      <c r="AX40" s="208">
        <f t="shared" si="22"/>
        <v>50.1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30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3.9">
      <c r="A41" s="223" t="s">
        <v>243</v>
      </c>
      <c r="B41" s="224" t="s">
        <v>141</v>
      </c>
      <c r="C41" s="224">
        <v>18</v>
      </c>
      <c r="D41" s="224" t="s">
        <v>244</v>
      </c>
      <c r="E41" s="225" t="str">
        <f t="shared" ca="1" si="25"/>
        <v>MR</v>
      </c>
      <c r="F41" s="365"/>
      <c r="G41" s="366">
        <f t="shared" ca="1" si="26"/>
        <v>48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7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8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29"/>
        <v/>
      </c>
      <c r="AQ41" s="207" t="s">
        <v>277</v>
      </c>
      <c r="AR41" s="207" t="s">
        <v>140</v>
      </c>
      <c r="AS41" s="207">
        <v>19</v>
      </c>
      <c r="AT41" s="207" t="s">
        <v>278</v>
      </c>
      <c r="AV41" s="168">
        <f t="shared" si="21"/>
        <v>10</v>
      </c>
      <c r="AW41" s="168">
        <f>COUNTIF( AV$7:AV41, AV41 )</f>
        <v>8</v>
      </c>
      <c r="AX41" s="208">
        <f t="shared" si="22"/>
        <v>10.8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30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3.9">
      <c r="A42" s="223" t="s">
        <v>289</v>
      </c>
      <c r="B42" s="224" t="s">
        <v>141</v>
      </c>
      <c r="C42" s="224">
        <v>18</v>
      </c>
      <c r="D42" s="224" t="s">
        <v>290</v>
      </c>
      <c r="E42" s="225" t="str">
        <f t="shared" ca="1" si="25"/>
        <v>MR</v>
      </c>
      <c r="F42" s="365"/>
      <c r="G42" s="366">
        <f t="shared" ca="1" si="26"/>
        <v>50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7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8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29"/>
        <v/>
      </c>
      <c r="AQ42" s="207" t="s">
        <v>299</v>
      </c>
      <c r="AR42" s="207" t="s">
        <v>142</v>
      </c>
      <c r="AS42" s="207">
        <v>17</v>
      </c>
      <c r="AT42" s="207" t="s">
        <v>300</v>
      </c>
      <c r="AV42" s="168">
        <f t="shared" si="21"/>
        <v>39</v>
      </c>
      <c r="AW42" s="168">
        <f>COUNTIF( AV$7:AV42, AV42 )</f>
        <v>10</v>
      </c>
      <c r="AX42" s="208">
        <f t="shared" si="22"/>
        <v>40</v>
      </c>
      <c r="AY42" s="168">
        <f t="shared" si="23"/>
        <v>48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30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3.9">
      <c r="A43" s="223" t="s">
        <v>389</v>
      </c>
      <c r="B43" s="224" t="s">
        <v>141</v>
      </c>
      <c r="C43" s="224">
        <v>18</v>
      </c>
      <c r="D43" s="224" t="s">
        <v>390</v>
      </c>
      <c r="E43" s="225" t="str">
        <f t="shared" ca="1" si="25"/>
        <v>R</v>
      </c>
      <c r="F43" s="365"/>
      <c r="G43" s="366">
        <f t="shared" ca="1" si="26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7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8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29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10</v>
      </c>
      <c r="AW43" s="168">
        <f>COUNTIF( AV$7:AV43, AV43 )</f>
        <v>9</v>
      </c>
      <c r="AX43" s="208">
        <f t="shared" si="22"/>
        <v>10.9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30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3.9">
      <c r="A44" s="223" t="s">
        <v>354</v>
      </c>
      <c r="B44" s="224" t="s">
        <v>141</v>
      </c>
      <c r="C44" s="224">
        <v>18</v>
      </c>
      <c r="D44" s="224" t="s">
        <v>355</v>
      </c>
      <c r="E44" s="225" t="str">
        <f t="shared" ca="1" si="25"/>
        <v>R</v>
      </c>
      <c r="F44" s="365"/>
      <c r="G44" s="366">
        <f t="shared" ca="1" si="26"/>
        <v>59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7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8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29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23</v>
      </c>
      <c r="AW44" s="168">
        <f>COUNTIF( AV$7:AV44, AV44 )</f>
        <v>11</v>
      </c>
      <c r="AX44" s="208">
        <f t="shared" si="22"/>
        <v>24.1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30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3.9">
      <c r="A45" s="223" t="s">
        <v>225</v>
      </c>
      <c r="B45" s="224" t="s">
        <v>142</v>
      </c>
      <c r="C45" s="224">
        <v>17</v>
      </c>
      <c r="D45" s="224" t="s">
        <v>226</v>
      </c>
      <c r="E45" s="225" t="str">
        <f t="shared" ca="1" si="25"/>
        <v>R</v>
      </c>
      <c r="F45" s="365"/>
      <c r="G45" s="366">
        <f t="shared" ca="1" si="26"/>
        <v>9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7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8"/>
        <v>45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29"/>
        <v/>
      </c>
      <c r="AQ45" s="207" t="s">
        <v>281</v>
      </c>
      <c r="AR45" s="207" t="s">
        <v>140</v>
      </c>
      <c r="AS45" s="207">
        <v>19</v>
      </c>
      <c r="AT45" s="207" t="s">
        <v>282</v>
      </c>
      <c r="AV45" s="168">
        <f t="shared" si="21"/>
        <v>10</v>
      </c>
      <c r="AW45" s="168">
        <f>COUNTIF( AV$7:AV45, AV45 )</f>
        <v>10</v>
      </c>
      <c r="AX45" s="208">
        <f t="shared" si="22"/>
        <v>11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30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3.9">
      <c r="A46" s="223" t="s">
        <v>245</v>
      </c>
      <c r="B46" s="224" t="s">
        <v>142</v>
      </c>
      <c r="C46" s="224">
        <v>17</v>
      </c>
      <c r="D46" s="224" t="s">
        <v>246</v>
      </c>
      <c r="E46" s="225" t="str">
        <f t="shared" ca="1" si="25"/>
        <v>MR</v>
      </c>
      <c r="F46" s="365"/>
      <c r="G46" s="366">
        <f t="shared" ca="1" si="26"/>
        <v>12</v>
      </c>
      <c r="H46" s="367"/>
      <c r="I46" s="191"/>
      <c r="K46" s="191"/>
      <c r="N46" s="368"/>
      <c r="W46" s="191"/>
      <c r="AF46" s="169">
        <f t="shared" si="27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8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29"/>
        <v/>
      </c>
      <c r="AQ46" s="207" t="s">
        <v>303</v>
      </c>
      <c r="AR46" s="207" t="s">
        <v>142</v>
      </c>
      <c r="AS46" s="207">
        <v>17</v>
      </c>
      <c r="AT46" s="207" t="s">
        <v>304</v>
      </c>
      <c r="AV46" s="168">
        <f t="shared" si="21"/>
        <v>39</v>
      </c>
      <c r="AW46" s="168">
        <f>COUNTIF( AV$7:AV46, AV46 )</f>
        <v>11</v>
      </c>
      <c r="AX46" s="208">
        <f t="shared" si="22"/>
        <v>40.1</v>
      </c>
      <c r="AY46" s="168">
        <f t="shared" si="23"/>
        <v>49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30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3.9">
      <c r="A47" s="223" t="s">
        <v>256</v>
      </c>
      <c r="B47" s="224" t="s">
        <v>142</v>
      </c>
      <c r="C47" s="224">
        <v>17</v>
      </c>
      <c r="D47" s="224" t="s">
        <v>257</v>
      </c>
      <c r="E47" s="225" t="str">
        <f t="shared" ca="1" si="25"/>
        <v>R</v>
      </c>
      <c r="F47" s="365"/>
      <c r="G47" s="366">
        <f t="shared" ca="1" si="26"/>
        <v>17</v>
      </c>
      <c r="H47" s="367"/>
      <c r="I47" s="367"/>
      <c r="J47" s="187" t="s">
        <v>373</v>
      </c>
      <c r="K47" s="191"/>
      <c r="M47" s="368"/>
      <c r="N47" s="368"/>
      <c r="AF47" s="169">
        <f t="shared" si="27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8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29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30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3.9">
      <c r="A48" s="223" t="s">
        <v>265</v>
      </c>
      <c r="B48" s="224" t="s">
        <v>142</v>
      </c>
      <c r="C48" s="224">
        <v>17</v>
      </c>
      <c r="D48" s="224" t="s">
        <v>266</v>
      </c>
      <c r="E48" s="225" t="str">
        <f t="shared" ca="1" si="25"/>
        <v>R</v>
      </c>
      <c r="F48" s="365"/>
      <c r="G48" s="366">
        <f t="shared" ca="1" si="26"/>
        <v>23</v>
      </c>
      <c r="H48" s="367"/>
      <c r="I48" s="367"/>
      <c r="K48" s="191"/>
      <c r="M48" s="368"/>
      <c r="N48" s="368"/>
      <c r="AF48" s="169">
        <f t="shared" si="27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8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29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15</v>
      </c>
      <c r="BF48" s="173" t="str">
        <f t="shared" ca="1" si="30"/>
        <v>Edison International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EIX</v>
      </c>
    </row>
    <row r="49" spans="1:61" ht="13.9">
      <c r="A49" s="223" t="s">
        <v>367</v>
      </c>
      <c r="B49" s="224" t="s">
        <v>142</v>
      </c>
      <c r="C49" s="224">
        <v>17</v>
      </c>
      <c r="D49" s="224" t="s">
        <v>368</v>
      </c>
      <c r="E49" s="225" t="str">
        <f t="shared" ca="1" si="25"/>
        <v>R</v>
      </c>
      <c r="F49" s="365"/>
      <c r="G49" s="366">
        <f t="shared" ca="1" si="26"/>
        <v>25</v>
      </c>
      <c r="H49" s="367"/>
      <c r="I49" s="367"/>
      <c r="J49" s="191"/>
      <c r="K49" s="191"/>
      <c r="M49" s="368"/>
      <c r="N49" s="368"/>
      <c r="AF49" s="169">
        <f t="shared" si="27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8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29"/>
        <v/>
      </c>
      <c r="AQ49" s="207" t="s">
        <v>289</v>
      </c>
      <c r="AR49" s="207" t="s">
        <v>141</v>
      </c>
      <c r="AS49" s="207">
        <v>18</v>
      </c>
      <c r="AT49" s="207" t="s">
        <v>290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17</v>
      </c>
      <c r="BF49" s="173" t="str">
        <f t="shared" ca="1" si="30"/>
        <v>Empire District Electric Company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EDE</v>
      </c>
    </row>
    <row r="50" spans="1:61" ht="13.9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25"/>
        <v>MR</v>
      </c>
      <c r="F50" s="365"/>
      <c r="G50" s="366">
        <f t="shared" ca="1" si="26"/>
        <v>28</v>
      </c>
      <c r="H50" s="367"/>
      <c r="I50" s="367"/>
      <c r="J50" s="191"/>
      <c r="K50" s="191"/>
      <c r="M50" s="368"/>
      <c r="N50" s="368"/>
      <c r="AF50" s="169">
        <f t="shared" si="27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28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29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1"/>
        <v>50</v>
      </c>
      <c r="AW50" s="168">
        <f>COUNTIF( AV$7:AV50, AV50 )</f>
        <v>2</v>
      </c>
      <c r="AX50" s="208">
        <f t="shared" si="22"/>
        <v>50.2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30"/>
        <v>FirstEnergy Corp.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FE</v>
      </c>
    </row>
    <row r="51" spans="1:61" ht="13.9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25"/>
        <v>D</v>
      </c>
      <c r="F51" s="365"/>
      <c r="G51" s="366">
        <f t="shared" ca="1" si="26"/>
        <v>30</v>
      </c>
      <c r="H51" s="367"/>
      <c r="I51" s="367"/>
      <c r="J51" s="191"/>
      <c r="K51" s="191"/>
      <c r="M51" s="368"/>
      <c r="N51" s="368"/>
      <c r="AF51" s="169">
        <f t="shared" si="27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28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29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30"/>
        <v>Hawaiian Electric Industries, Inc.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HE</v>
      </c>
    </row>
    <row r="52" spans="1:61" ht="13.9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25"/>
        <v>R</v>
      </c>
      <c r="F52" s="365"/>
      <c r="G52" s="366">
        <f t="shared" ca="1" si="26"/>
        <v>66</v>
      </c>
      <c r="H52" s="367"/>
      <c r="I52" s="367"/>
      <c r="J52" s="191"/>
      <c r="K52" s="191"/>
      <c r="AF52" s="169">
        <f t="shared" si="27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28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29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30"/>
        <v>IPALCO Enterprises,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**IPALCO</v>
      </c>
    </row>
    <row r="53" spans="1:61" ht="13.9">
      <c r="A53" s="223" t="s">
        <v>273</v>
      </c>
      <c r="B53" s="224" t="s">
        <v>142</v>
      </c>
      <c r="C53" s="224">
        <v>17</v>
      </c>
      <c r="D53" s="224" t="s">
        <v>274</v>
      </c>
      <c r="E53" s="225" t="str">
        <f t="shared" ca="1" si="25"/>
        <v>MR</v>
      </c>
      <c r="F53" s="365"/>
      <c r="G53" s="366">
        <f t="shared" ca="1" si="26"/>
        <v>36</v>
      </c>
      <c r="H53" s="367"/>
      <c r="I53" s="367"/>
      <c r="J53" s="191"/>
      <c r="K53" s="191"/>
      <c r="AF53" s="169">
        <f t="shared" si="27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28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29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30"/>
        <v>NiSource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NI</v>
      </c>
    </row>
    <row r="54" spans="1:61" ht="13.9">
      <c r="A54" s="223" t="s">
        <v>299</v>
      </c>
      <c r="B54" s="224" t="s">
        <v>142</v>
      </c>
      <c r="C54" s="224">
        <v>17</v>
      </c>
      <c r="D54" s="224" t="s">
        <v>300</v>
      </c>
      <c r="E54" s="225" t="str">
        <f t="shared" ca="1" si="25"/>
        <v>MR</v>
      </c>
      <c r="F54" s="365"/>
      <c r="G54" s="366">
        <f t="shared" ca="1" si="26"/>
        <v>42</v>
      </c>
      <c r="H54" s="367"/>
      <c r="I54" s="367"/>
      <c r="J54" s="191"/>
      <c r="K54" s="191"/>
      <c r="AF54" s="169">
        <f t="shared" si="27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28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29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36</v>
      </c>
      <c r="BF54" s="173" t="str">
        <f t="shared" ca="1" si="30"/>
        <v>Otter Tail Corporation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OTTR</v>
      </c>
    </row>
    <row r="55" spans="1:61" ht="13.9">
      <c r="A55" s="223" t="s">
        <v>303</v>
      </c>
      <c r="B55" s="224" t="s">
        <v>142</v>
      </c>
      <c r="C55" s="224">
        <v>17</v>
      </c>
      <c r="D55" s="224" t="s">
        <v>304</v>
      </c>
      <c r="E55" s="225" t="str">
        <f t="shared" ca="1" si="25"/>
        <v>R</v>
      </c>
      <c r="F55" s="365"/>
      <c r="G55" s="366">
        <f t="shared" ca="1" si="26"/>
        <v>46</v>
      </c>
      <c r="H55" s="367"/>
      <c r="I55" s="367"/>
      <c r="J55" s="191"/>
      <c r="K55" s="191"/>
      <c r="AF55" s="169">
        <f t="shared" si="27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28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29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40</v>
      </c>
      <c r="BF55" s="173" t="str">
        <f t="shared" ca="1" si="30"/>
        <v>PNM Resources,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PNM</v>
      </c>
    </row>
    <row r="56" spans="1:61" ht="13.9">
      <c r="A56" s="223" t="s">
        <v>411</v>
      </c>
      <c r="B56" s="224" t="s">
        <v>173</v>
      </c>
      <c r="C56" s="224">
        <v>16</v>
      </c>
      <c r="D56" s="224" t="s">
        <v>412</v>
      </c>
      <c r="E56" s="225" t="str">
        <f t="shared" ca="1" si="25"/>
        <v>R</v>
      </c>
      <c r="F56" s="365"/>
      <c r="G56" s="366">
        <f t="shared" ca="1" si="26"/>
        <v>40</v>
      </c>
      <c r="H56" s="367"/>
      <c r="I56" s="367"/>
      <c r="J56" s="191"/>
      <c r="K56" s="191"/>
      <c r="AF56" s="169">
        <f t="shared" si="27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28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29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30"/>
        <v>NV Energy, Inc.</v>
      </c>
      <c r="BG56" s="173" t="str">
        <f t="shared" ca="1" si="9"/>
        <v>BB+</v>
      </c>
      <c r="BH56" s="173">
        <f t="shared" ca="1" si="9"/>
        <v>16</v>
      </c>
      <c r="BI56" s="173" t="str">
        <f t="shared" ca="1" si="9"/>
        <v>NVE</v>
      </c>
    </row>
    <row r="57" spans="1:61" ht="13.9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25"/>
        <v>R</v>
      </c>
      <c r="F57" s="365"/>
      <c r="G57" s="366">
        <f t="shared" ca="1" si="26"/>
        <v>68</v>
      </c>
      <c r="H57" s="367"/>
      <c r="I57" s="367"/>
      <c r="J57" s="191"/>
      <c r="K57" s="191"/>
      <c r="AF57" s="169">
        <f t="shared" si="27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28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29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30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3.9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25"/>
        <v>R</v>
      </c>
      <c r="F58" s="365"/>
      <c r="G58" s="366">
        <f t="shared" ca="1" si="26"/>
        <v>64</v>
      </c>
      <c r="H58" s="367"/>
      <c r="I58" s="367"/>
      <c r="J58" s="191"/>
      <c r="K58" s="191"/>
      <c r="AF58" s="169">
        <f t="shared" si="27"/>
        <v>1</v>
      </c>
      <c r="AG58" s="169" t="str">
        <f t="shared" ca="1" si="3"/>
        <v/>
      </c>
      <c r="AH58" s="169">
        <f t="shared" ca="1" si="19"/>
        <v>1</v>
      </c>
      <c r="AJ58" s="169">
        <f t="shared" ca="1" si="28"/>
        <v>48</v>
      </c>
      <c r="AK58" s="169" t="str">
        <f t="shared" ca="1" si="20"/>
        <v>BBB-</v>
      </c>
      <c r="AL58" s="169">
        <f t="shared" ca="1" si="20"/>
        <v>17</v>
      </c>
      <c r="AM58" s="169" t="str">
        <f t="shared" ca="1" si="29"/>
        <v>Change</v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30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3.9">
      <c r="A59" s="223" t="s">
        <v>371</v>
      </c>
      <c r="B59" s="224" t="s">
        <v>421</v>
      </c>
      <c r="C59" s="224">
        <v>2</v>
      </c>
      <c r="D59" s="224" t="s">
        <v>359</v>
      </c>
      <c r="E59" s="225" t="str">
        <f t="shared" ca="1" si="25"/>
        <v>D</v>
      </c>
      <c r="F59" s="365"/>
      <c r="G59" s="366">
        <f t="shared" ca="1" si="26"/>
        <v>65</v>
      </c>
      <c r="H59" s="367"/>
      <c r="I59" s="367"/>
      <c r="J59" s="191"/>
      <c r="K59" s="191"/>
      <c r="AF59" s="169">
        <f t="shared" si="27"/>
        <v>0</v>
      </c>
      <c r="AG59" s="169" t="str">
        <f t="shared" ca="1" si="3"/>
        <v/>
      </c>
      <c r="AH59" s="169">
        <f t="shared" ca="1" si="19"/>
        <v>1</v>
      </c>
      <c r="AJ59" s="169">
        <f t="shared" ca="1" si="28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29"/>
        <v>Change</v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30"/>
        <v>Energy Future Holdings Corp.</v>
      </c>
      <c r="BG59" s="173" t="str">
        <f t="shared" ca="1" si="9"/>
        <v>SD</v>
      </c>
      <c r="BH59" s="173">
        <f t="shared" ca="1" si="9"/>
        <v>2</v>
      </c>
      <c r="BI59" s="173" t="str">
        <f t="shared" ca="1" si="9"/>
        <v>**EFH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26"/>
        <v/>
      </c>
      <c r="H60" s="367"/>
      <c r="I60" s="367"/>
      <c r="AF60" s="169">
        <f t="shared" si="27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8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29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30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26"/>
        <v/>
      </c>
      <c r="H61" s="367"/>
      <c r="I61" s="367"/>
      <c r="AF61" s="169">
        <f t="shared" si="27"/>
        <v>0</v>
      </c>
      <c r="AG61" s="169" t="str">
        <f t="shared" si="3"/>
        <v/>
      </c>
      <c r="AH61" s="169" t="str">
        <f t="shared" si="19"/>
        <v/>
      </c>
      <c r="AJ61" s="169" t="e">
        <f t="shared" ca="1" si="28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29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30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26"/>
        <v>34</v>
      </c>
      <c r="H62" s="367"/>
      <c r="I62" s="367"/>
      <c r="AF62" s="169">
        <f t="shared" si="27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28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29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30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9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65"/>
      <c r="G63" s="366">
        <f t="shared" ca="1" si="26"/>
        <v>15</v>
      </c>
      <c r="H63" s="367"/>
      <c r="I63" s="367"/>
      <c r="AF63" s="169">
        <f t="shared" si="27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28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29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30"/>
        <v>0</v>
      </c>
      <c r="BG63" s="173">
        <f t="shared" ref="BG63:BI63" ca="1" si="31">OFFSET( AR$6, $BD63, 0 )</f>
        <v>0</v>
      </c>
      <c r="BH63" s="173">
        <f t="shared" ca="1" si="31"/>
        <v>0</v>
      </c>
      <c r="BI63" s="173">
        <f t="shared" ca="1" si="31"/>
        <v>0</v>
      </c>
    </row>
    <row r="64" spans="1:61" ht="13.9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65"/>
      <c r="G64" s="366">
        <f t="shared" ca="1" si="26"/>
        <v>57</v>
      </c>
      <c r="H64" s="367"/>
      <c r="I64" s="367"/>
      <c r="AF64" s="169">
        <f t="shared" si="27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28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29"/>
        <v/>
      </c>
      <c r="AQ64" s="207" t="s">
        <v>416</v>
      </c>
      <c r="AR64" s="207" t="s">
        <v>166</v>
      </c>
      <c r="AS64" s="207">
        <v>21</v>
      </c>
      <c r="AT64" s="207" t="s">
        <v>417</v>
      </c>
      <c r="AU64" s="207"/>
      <c r="AZ64" s="169"/>
      <c r="BA64" s="169"/>
      <c r="BF64" s="169"/>
    </row>
    <row r="65" spans="1:58" ht="13.9">
      <c r="A65" s="223" t="s">
        <v>401</v>
      </c>
      <c r="B65" s="229"/>
      <c r="C65" s="224"/>
      <c r="D65" s="224" t="s">
        <v>376</v>
      </c>
      <c r="E65" s="225" t="str">
        <f ca="1">OFFSET( INDIRECT( E$3 &amp; E$4 ), $G65 - 1, 0 )</f>
        <v>R</v>
      </c>
      <c r="F65" s="365"/>
      <c r="G65" s="366">
        <f t="shared" ca="1" si="26"/>
        <v>56</v>
      </c>
      <c r="H65" s="367"/>
      <c r="I65" s="367"/>
      <c r="N65" s="168" t="s">
        <v>310</v>
      </c>
      <c r="AF65" s="169">
        <f t="shared" si="27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28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29"/>
        <v/>
      </c>
      <c r="AQ65" s="207" t="s">
        <v>384</v>
      </c>
      <c r="AR65" s="207" t="s">
        <v>162</v>
      </c>
      <c r="AS65" s="207">
        <v>23</v>
      </c>
      <c r="AT65" s="207" t="s">
        <v>309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7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8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29"/>
        <v/>
      </c>
      <c r="AQ66" s="207" t="s">
        <v>401</v>
      </c>
      <c r="AR66" s="207"/>
      <c r="AS66" s="207"/>
      <c r="AT66" s="207" t="s">
        <v>376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7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8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29"/>
        <v/>
      </c>
      <c r="AQ67" s="207" t="s">
        <v>399</v>
      </c>
      <c r="AR67" s="207" t="s">
        <v>173</v>
      </c>
      <c r="AS67" s="207">
        <v>16</v>
      </c>
      <c r="AT67" s="207" t="s">
        <v>400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18.071428571428573</v>
      </c>
      <c r="D68" s="201"/>
      <c r="E68" s="201"/>
      <c r="F68" s="367"/>
      <c r="H68" s="367"/>
      <c r="I68" s="367"/>
      <c r="J68" s="368"/>
      <c r="K68" s="368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Q69" s="207"/>
      <c r="AR69" s="207"/>
      <c r="AS69" s="207"/>
      <c r="AT69" s="20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  <c r="AQ70" s="207"/>
      <c r="AR70" s="207"/>
      <c r="AS70" s="207"/>
      <c r="AT70" s="207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419</v>
      </c>
      <c r="B73" s="173"/>
      <c r="D73" s="173"/>
      <c r="E73" s="173"/>
      <c r="F73" s="204"/>
      <c r="H73" s="204"/>
      <c r="I73" s="204"/>
    </row>
    <row r="74" spans="1:58">
      <c r="A74" s="205" t="s">
        <v>314</v>
      </c>
      <c r="B74" s="173"/>
      <c r="D74" s="173"/>
      <c r="E74" s="173"/>
      <c r="F74" s="204"/>
      <c r="H74" s="204"/>
      <c r="I74" s="204"/>
    </row>
    <row r="75" spans="1:58">
      <c r="A75" s="205" t="s">
        <v>403</v>
      </c>
      <c r="D75" s="204"/>
      <c r="F75" s="206"/>
      <c r="H75" s="206"/>
      <c r="I75" s="206"/>
    </row>
    <row r="76" spans="1:58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D77" s="204"/>
      <c r="F77" s="206"/>
      <c r="H77" s="206"/>
      <c r="I77" s="206"/>
      <c r="AQ77" s="207"/>
      <c r="AR77" s="207"/>
      <c r="AS77" s="207"/>
    </row>
    <row r="78" spans="1:58">
      <c r="A78" s="203"/>
      <c r="AQ78" s="207"/>
      <c r="AR78" s="207"/>
      <c r="AS78" s="207"/>
    </row>
    <row r="79" spans="1:58">
      <c r="C79" s="190">
        <f>SUMPRODUCT( L8:L13, Y8:Y13 ) / L14</f>
        <v>18.303571428571427</v>
      </c>
      <c r="E79" s="191"/>
      <c r="G79" s="370"/>
      <c r="J79" s="173"/>
      <c r="K79" s="173"/>
      <c r="AQ79" s="207"/>
      <c r="AR79" s="207"/>
      <c r="AS79" s="207"/>
    </row>
    <row r="80" spans="1:58" s="173" customFormat="1" ht="13.9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>
      <c r="AQ81" s="207"/>
      <c r="AR81" s="207"/>
      <c r="AS81" s="207"/>
    </row>
    <row r="82" spans="43:45">
      <c r="AQ82" s="207"/>
      <c r="AR82" s="207"/>
      <c r="AS82" s="207"/>
    </row>
  </sheetData>
  <sortState xmlns:xlrd2="http://schemas.microsoft.com/office/spreadsheetml/2017/richdata2"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-- 2012 Q3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Reg_Percent_2011</v>
      </c>
      <c r="G2" s="172" t="s">
        <v>414</v>
      </c>
      <c r="AJ2" s="173" t="str">
        <f>AJ4 &amp; AJ3</f>
        <v>'Credit_2012Q2'!a:a</v>
      </c>
      <c r="AK2" s="173" t="str">
        <f>AK4 &amp; AK3</f>
        <v>'Credit_2012Q2'!b1</v>
      </c>
      <c r="AL2" s="173" t="str">
        <f>AL4 &amp; AL3</f>
        <v>'Credit_2012Q2'!c1</v>
      </c>
    </row>
    <row r="3" spans="1:61" ht="18" hidden="1" outlineLevel="1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422</v>
      </c>
      <c r="AK4" s="169" t="str">
        <f>AJ4</f>
        <v>'Credit_2012Q2'!</v>
      </c>
      <c r="AL4" s="169" t="str">
        <f>AK4</f>
        <v>'Credit_2012Q2'!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(56)</v>
      </c>
      <c r="M5" s="359"/>
      <c r="N5" s="230"/>
      <c r="O5" s="357" t="str">
        <f ca="1">"Regulated" &amp; CHAR( 10 ) &amp; "(" &amp; O14 &amp; ")"</f>
        <v>Regulated
(36)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(3)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50</v>
      </c>
      <c r="C6" s="249" t="s">
        <v>214</v>
      </c>
      <c r="D6" s="221"/>
      <c r="E6" s="222">
        <v>40908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65"/>
      <c r="G7" s="366">
        <f t="shared" ref="G7:G65" ca="1" si="1">IF( LEN( $D7 ) = 0, "", MATCH( $D7, INDIRECT( G$3 &amp; G$4 ), 0 ) )</f>
        <v>53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9">
      <c r="A8" s="223" t="s">
        <v>227</v>
      </c>
      <c r="B8" s="224" t="s">
        <v>139</v>
      </c>
      <c r="C8" s="224">
        <v>20</v>
      </c>
      <c r="D8" s="224" t="s">
        <v>228</v>
      </c>
      <c r="E8" s="225" t="str">
        <f t="shared" ca="1" si="0"/>
        <v>R</v>
      </c>
      <c r="F8" s="365"/>
      <c r="G8" s="366">
        <f t="shared" ca="1" si="1"/>
        <v>18</v>
      </c>
      <c r="H8" s="367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9">
      <c r="A9" s="223" t="s">
        <v>361</v>
      </c>
      <c r="B9" s="224" t="s">
        <v>139</v>
      </c>
      <c r="C9" s="224">
        <v>20</v>
      </c>
      <c r="D9" s="224" t="s">
        <v>194</v>
      </c>
      <c r="E9" s="225" t="str">
        <f t="shared" ca="1" si="0"/>
        <v>MR</v>
      </c>
      <c r="F9" s="365"/>
      <c r="G9" s="366">
        <f t="shared" ca="1" si="1"/>
        <v>20</v>
      </c>
      <c r="H9" s="367"/>
      <c r="I9" s="234"/>
      <c r="J9" s="215" t="s">
        <v>139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8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9">
      <c r="A10" s="223" t="s">
        <v>395</v>
      </c>
      <c r="B10" s="224" t="s">
        <v>139</v>
      </c>
      <c r="C10" s="224">
        <v>20</v>
      </c>
      <c r="D10" s="224" t="s">
        <v>396</v>
      </c>
      <c r="E10" s="225" t="str">
        <f t="shared" ca="1" si="0"/>
        <v>R</v>
      </c>
      <c r="F10" s="365"/>
      <c r="G10" s="366">
        <f t="shared" ca="1" si="1"/>
        <v>32</v>
      </c>
      <c r="H10" s="367"/>
      <c r="I10" s="234"/>
      <c r="J10" s="215" t="s">
        <v>140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3.9">
      <c r="A11" s="223" t="s">
        <v>240</v>
      </c>
      <c r="B11" s="224" t="s">
        <v>139</v>
      </c>
      <c r="C11" s="224">
        <v>20</v>
      </c>
      <c r="D11" s="224" t="s">
        <v>241</v>
      </c>
      <c r="E11" s="225" t="str">
        <f t="shared" ca="1" si="0"/>
        <v>MR</v>
      </c>
      <c r="F11" s="365"/>
      <c r="G11" s="366">
        <f t="shared" ca="1" si="1"/>
        <v>35</v>
      </c>
      <c r="H11" s="367"/>
      <c r="I11" s="234"/>
      <c r="J11" s="215" t="s">
        <v>141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3.9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0"/>
        <v>R</v>
      </c>
      <c r="F12" s="365"/>
      <c r="G12" s="366">
        <f t="shared" ca="1" si="1"/>
        <v>37</v>
      </c>
      <c r="H12" s="367"/>
      <c r="I12" s="234"/>
      <c r="J12" s="215" t="s">
        <v>142</v>
      </c>
      <c r="K12" s="234"/>
      <c r="L12" s="215">
        <f t="shared" si="10"/>
        <v>12</v>
      </c>
      <c r="M12" s="216">
        <f t="shared" si="11"/>
        <v>0.21428571428571427</v>
      </c>
      <c r="N12" s="234"/>
      <c r="O12" s="215">
        <f t="shared" ca="1" si="12"/>
        <v>7</v>
      </c>
      <c r="P12" s="216">
        <f t="shared" ca="1" si="13"/>
        <v>0.19444444444444445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3.9">
      <c r="A13" s="223" t="s">
        <v>345</v>
      </c>
      <c r="B13" s="224" t="s">
        <v>139</v>
      </c>
      <c r="C13" s="224">
        <v>20</v>
      </c>
      <c r="D13" s="224" t="s">
        <v>346</v>
      </c>
      <c r="E13" s="225" t="str">
        <f t="shared" ca="1" si="0"/>
        <v>R</v>
      </c>
      <c r="F13" s="365"/>
      <c r="G13" s="366">
        <f t="shared" ca="1" si="1"/>
        <v>58</v>
      </c>
      <c r="H13" s="367"/>
      <c r="I13" s="235"/>
      <c r="J13" s="217" t="s">
        <v>143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3.9">
      <c r="A14" s="223" t="s">
        <v>247</v>
      </c>
      <c r="B14" s="224" t="s">
        <v>139</v>
      </c>
      <c r="C14" s="224">
        <v>20</v>
      </c>
      <c r="D14" s="224" t="s">
        <v>248</v>
      </c>
      <c r="E14" s="225" t="str">
        <f t="shared" ca="1" si="0"/>
        <v>R</v>
      </c>
      <c r="F14" s="365"/>
      <c r="G14" s="366">
        <f t="shared" ca="1" si="1"/>
        <v>60</v>
      </c>
      <c r="H14" s="367"/>
      <c r="I14" s="236"/>
      <c r="J14" s="211" t="s">
        <v>144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18.321428571428573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3.9">
      <c r="A15" s="223" t="s">
        <v>251</v>
      </c>
      <c r="B15" s="224" t="s">
        <v>139</v>
      </c>
      <c r="C15" s="224">
        <v>20</v>
      </c>
      <c r="D15" s="224" t="s">
        <v>252</v>
      </c>
      <c r="E15" s="225" t="str">
        <f t="shared" ca="1" si="0"/>
        <v>R</v>
      </c>
      <c r="F15" s="365"/>
      <c r="G15" s="366">
        <f t="shared" ca="1" si="1"/>
        <v>61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3.9">
      <c r="A16" s="223" t="s">
        <v>217</v>
      </c>
      <c r="B16" s="224" t="s">
        <v>140</v>
      </c>
      <c r="C16" s="224">
        <v>19</v>
      </c>
      <c r="D16" s="224" t="s">
        <v>218</v>
      </c>
      <c r="E16" s="225" t="str">
        <f t="shared" ca="1" si="0"/>
        <v>R</v>
      </c>
      <c r="F16" s="365"/>
      <c r="G16" s="366">
        <f t="shared" ca="1" si="1"/>
        <v>7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18.232142857142858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18.277777777777779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18.705882352941178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15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3.9">
      <c r="A17" s="223" t="s">
        <v>219</v>
      </c>
      <c r="B17" s="224" t="s">
        <v>140</v>
      </c>
      <c r="C17" s="224">
        <v>19</v>
      </c>
      <c r="D17" s="224" t="s">
        <v>220</v>
      </c>
      <c r="E17" s="225" t="str">
        <f t="shared" ca="1" si="0"/>
        <v>R</v>
      </c>
      <c r="F17" s="365"/>
      <c r="G17" s="366">
        <f t="shared" ca="1" si="1"/>
        <v>8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3.9">
      <c r="A18" s="223" t="s">
        <v>249</v>
      </c>
      <c r="B18" s="224" t="s">
        <v>140</v>
      </c>
      <c r="C18" s="224">
        <v>19</v>
      </c>
      <c r="D18" s="224" t="s">
        <v>250</v>
      </c>
      <c r="E18" s="225" t="str">
        <f t="shared" ca="1" si="0"/>
        <v>MR</v>
      </c>
      <c r="F18" s="365"/>
      <c r="G18" s="366">
        <f t="shared" ca="1" si="1"/>
        <v>13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142</v>
      </c>
      <c r="AS18" s="207">
        <v>17</v>
      </c>
      <c r="AT18" s="207" t="s">
        <v>260</v>
      </c>
      <c r="AV18" s="168">
        <f t="shared" si="21"/>
        <v>39</v>
      </c>
      <c r="AW18" s="168">
        <f>COUNTIF( AV$7:AV18, AV18 )</f>
        <v>4</v>
      </c>
      <c r="AX18" s="208">
        <f t="shared" si="22"/>
        <v>39.4</v>
      </c>
      <c r="AY18" s="168">
        <f t="shared" si="23"/>
        <v>42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3.9">
      <c r="A19" s="223" t="s">
        <v>261</v>
      </c>
      <c r="B19" s="224" t="s">
        <v>140</v>
      </c>
      <c r="C19" s="224">
        <v>19</v>
      </c>
      <c r="D19" s="224" t="s">
        <v>262</v>
      </c>
      <c r="E19" s="225" t="str">
        <f t="shared" ca="1" si="0"/>
        <v>R</v>
      </c>
      <c r="F19" s="365"/>
      <c r="G19" s="366">
        <f t="shared" ca="1" si="1"/>
        <v>21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3.9">
      <c r="A20" s="223" t="s">
        <v>263</v>
      </c>
      <c r="B20" s="224" t="s">
        <v>140</v>
      </c>
      <c r="C20" s="224">
        <v>19</v>
      </c>
      <c r="D20" s="224" t="s">
        <v>264</v>
      </c>
      <c r="E20" s="225" t="str">
        <f t="shared" ca="1" si="0"/>
        <v>MR</v>
      </c>
      <c r="F20" s="365"/>
      <c r="G20" s="366">
        <f t="shared" ca="1" si="1"/>
        <v>22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>
        <f t="shared" ca="1" si="19"/>
        <v>1</v>
      </c>
      <c r="AJ20" s="169">
        <f t="shared" ca="1" si="4"/>
        <v>10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5"/>
        <v>Change</v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3.9">
      <c r="A21" s="223" t="s">
        <v>387</v>
      </c>
      <c r="B21" s="224" t="s">
        <v>140</v>
      </c>
      <c r="C21" s="224">
        <v>19</v>
      </c>
      <c r="D21" s="224" t="s">
        <v>388</v>
      </c>
      <c r="E21" s="225" t="str">
        <f t="shared" ca="1" si="0"/>
        <v>R</v>
      </c>
      <c r="F21" s="365"/>
      <c r="G21" s="366">
        <f t="shared" ca="1" si="1"/>
        <v>63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39</v>
      </c>
      <c r="AW21" s="168">
        <f>COUNTIF( AV$7:AV21, AV21 )</f>
        <v>5</v>
      </c>
      <c r="AX21" s="208">
        <f t="shared" si="22"/>
        <v>39.5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3.9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65"/>
      <c r="G22" s="366">
        <f t="shared" ca="1" si="1"/>
        <v>33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9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65"/>
      <c r="G23" s="366">
        <f t="shared" ca="1" si="1"/>
        <v>67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39</v>
      </c>
      <c r="AW23" s="168">
        <f>COUNTIF( AV$7:AV23, AV23 )</f>
        <v>6</v>
      </c>
      <c r="AX23" s="208">
        <f t="shared" si="22"/>
        <v>39.6</v>
      </c>
      <c r="AY23" s="168">
        <f t="shared" si="23"/>
        <v>44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9">
      <c r="A24" s="223" t="s">
        <v>277</v>
      </c>
      <c r="B24" s="224" t="s">
        <v>140</v>
      </c>
      <c r="C24" s="224">
        <v>19</v>
      </c>
      <c r="D24" s="224" t="s">
        <v>278</v>
      </c>
      <c r="E24" s="225" t="str">
        <f t="shared" ca="1" si="0"/>
        <v>MR</v>
      </c>
      <c r="F24" s="365"/>
      <c r="G24" s="366">
        <f t="shared" ca="1" si="1"/>
        <v>41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3.9">
      <c r="A25" s="223" t="s">
        <v>382</v>
      </c>
      <c r="B25" s="224" t="s">
        <v>140</v>
      </c>
      <c r="C25" s="224">
        <v>19</v>
      </c>
      <c r="D25" s="224" t="s">
        <v>383</v>
      </c>
      <c r="E25" s="225" t="str">
        <f t="shared" ca="1" si="0"/>
        <v>MR</v>
      </c>
      <c r="F25" s="365"/>
      <c r="G25" s="366">
        <f t="shared" ca="1" si="1"/>
        <v>43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3.9">
      <c r="A26" s="223" t="s">
        <v>347</v>
      </c>
      <c r="B26" s="224" t="s">
        <v>140</v>
      </c>
      <c r="C26" s="224">
        <v>19</v>
      </c>
      <c r="D26" s="224" t="s">
        <v>348</v>
      </c>
      <c r="E26" s="225" t="str">
        <f t="shared" ca="1" si="0"/>
        <v>MR</v>
      </c>
      <c r="F26" s="365"/>
      <c r="G26" s="366">
        <f t="shared" ca="1" si="1"/>
        <v>51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3.9">
      <c r="A27" s="223" t="s">
        <v>291</v>
      </c>
      <c r="B27" s="224" t="s">
        <v>140</v>
      </c>
      <c r="C27" s="224">
        <v>19</v>
      </c>
      <c r="D27" s="224" t="s">
        <v>292</v>
      </c>
      <c r="E27" s="225" t="str">
        <f t="shared" ca="1" si="0"/>
        <v>MR</v>
      </c>
      <c r="F27" s="365"/>
      <c r="G27" s="366">
        <f t="shared" ca="1" si="1"/>
        <v>52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39</v>
      </c>
      <c r="AW27" s="168">
        <f>COUNTIF( AV$7:AV27, AV27 )</f>
        <v>7</v>
      </c>
      <c r="AX27" s="208">
        <f t="shared" si="22"/>
        <v>39.700000000000003</v>
      </c>
      <c r="AY27" s="168">
        <f t="shared" si="23"/>
        <v>45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3.9">
      <c r="A28" s="223" t="s">
        <v>369</v>
      </c>
      <c r="B28" s="224" t="s">
        <v>140</v>
      </c>
      <c r="C28" s="224">
        <v>19</v>
      </c>
      <c r="D28" s="224" t="s">
        <v>375</v>
      </c>
      <c r="E28" s="225" t="str">
        <f t="shared" ca="1" si="0"/>
        <v>R</v>
      </c>
      <c r="F28" s="365"/>
      <c r="G28" s="366">
        <f t="shared" ca="1" si="1"/>
        <v>54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3.9">
      <c r="A29" s="223" t="s">
        <v>222</v>
      </c>
      <c r="B29" s="224" t="s">
        <v>141</v>
      </c>
      <c r="C29" s="224">
        <v>18</v>
      </c>
      <c r="D29" s="224" t="s">
        <v>223</v>
      </c>
      <c r="E29" s="225" t="str">
        <f t="shared" ca="1" si="0"/>
        <v>R</v>
      </c>
      <c r="F29" s="365"/>
      <c r="G29" s="366">
        <f t="shared" ca="1" si="1"/>
        <v>10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39</v>
      </c>
      <c r="AW29" s="168">
        <f>COUNTIF( AV$7:AV29, AV29 )</f>
        <v>8</v>
      </c>
      <c r="AX29" s="208">
        <f t="shared" si="22"/>
        <v>39.799999999999997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3.9">
      <c r="A30" s="223" t="s">
        <v>238</v>
      </c>
      <c r="B30" s="224" t="s">
        <v>141</v>
      </c>
      <c r="C30" s="224">
        <v>18</v>
      </c>
      <c r="D30" s="224" t="s">
        <v>239</v>
      </c>
      <c r="E30" s="225" t="str">
        <f t="shared" ca="1" si="0"/>
        <v>R</v>
      </c>
      <c r="F30" s="365"/>
      <c r="G30" s="366">
        <f t="shared" ca="1" si="1"/>
        <v>11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140</v>
      </c>
      <c r="AS30" s="207">
        <v>19</v>
      </c>
      <c r="AT30" s="207" t="s">
        <v>388</v>
      </c>
      <c r="AV30" s="168">
        <f t="shared" si="21"/>
        <v>10</v>
      </c>
      <c r="AW30" s="168">
        <f>COUNTIF( AV$7:AV30, AV30 )</f>
        <v>6</v>
      </c>
      <c r="AX30" s="208">
        <f t="shared" si="22"/>
        <v>10.6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3.9">
      <c r="A31" s="223" t="s">
        <v>254</v>
      </c>
      <c r="B31" s="224" t="s">
        <v>141</v>
      </c>
      <c r="C31" s="224">
        <v>18</v>
      </c>
      <c r="D31" s="224" t="s">
        <v>378</v>
      </c>
      <c r="E31" s="225" t="str">
        <f t="shared" ca="1" si="0"/>
        <v>R</v>
      </c>
      <c r="F31" s="365"/>
      <c r="G31" s="366">
        <f t="shared" ca="1" si="1"/>
        <v>16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23</v>
      </c>
      <c r="AW31" s="168">
        <f>COUNTIF( AV$7:AV31, AV31 )</f>
        <v>8</v>
      </c>
      <c r="AX31" s="208">
        <f t="shared" si="22"/>
        <v>23.8</v>
      </c>
      <c r="AY31" s="168">
        <f t="shared" si="23"/>
        <v>30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3.9">
      <c r="A32" s="223" t="s">
        <v>328</v>
      </c>
      <c r="B32" s="224" t="s">
        <v>141</v>
      </c>
      <c r="C32" s="224">
        <v>18</v>
      </c>
      <c r="D32" s="224" t="s">
        <v>331</v>
      </c>
      <c r="E32" s="225" t="str">
        <f t="shared" ca="1" si="0"/>
        <v>R</v>
      </c>
      <c r="F32" s="365"/>
      <c r="G32" s="366">
        <f t="shared" ca="1" si="1"/>
        <v>24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3.9">
      <c r="A33" s="223" t="s">
        <v>267</v>
      </c>
      <c r="B33" s="224" t="s">
        <v>141</v>
      </c>
      <c r="C33" s="224">
        <v>18</v>
      </c>
      <c r="D33" s="224" t="s">
        <v>268</v>
      </c>
      <c r="E33" s="225" t="str">
        <f t="shared" ca="1" si="0"/>
        <v>R</v>
      </c>
      <c r="F33" s="365"/>
      <c r="G33" s="366">
        <f t="shared" ca="1" si="1"/>
        <v>26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39</v>
      </c>
      <c r="AW33" s="168">
        <f>COUNTIF( AV$7:AV33, AV33 )</f>
        <v>9</v>
      </c>
      <c r="AX33" s="208">
        <f t="shared" si="22"/>
        <v>39.9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3.9">
      <c r="A34" s="223" t="s">
        <v>269</v>
      </c>
      <c r="B34" s="224" t="s">
        <v>141</v>
      </c>
      <c r="C34" s="224">
        <v>18</v>
      </c>
      <c r="D34" s="224" t="s">
        <v>270</v>
      </c>
      <c r="E34" s="225" t="str">
        <f t="shared" ca="1" si="0"/>
        <v>MR</v>
      </c>
      <c r="F34" s="365"/>
      <c r="G34" s="366">
        <f t="shared" ca="1" si="1"/>
        <v>27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10</v>
      </c>
      <c r="AW34" s="168">
        <f>COUNTIF( AV$7:AV34, AV34 )</f>
        <v>7</v>
      </c>
      <c r="AX34" s="208">
        <f t="shared" si="22"/>
        <v>10.7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3.9">
      <c r="A35" s="223" t="s">
        <v>352</v>
      </c>
      <c r="B35" s="224" t="s">
        <v>141</v>
      </c>
      <c r="C35" s="224">
        <v>18</v>
      </c>
      <c r="D35" s="224" t="s">
        <v>353</v>
      </c>
      <c r="E35" s="225" t="str">
        <f t="shared" ca="1" si="0"/>
        <v>R</v>
      </c>
      <c r="F35" s="365"/>
      <c r="G35" s="366">
        <f t="shared" ca="1" si="1"/>
        <v>29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10</v>
      </c>
      <c r="AW35" s="168">
        <f>COUNTIF( AV$7:AV35, AV35 )</f>
        <v>8</v>
      </c>
      <c r="AX35" s="208">
        <f t="shared" si="22"/>
        <v>10.8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3.9">
      <c r="A36" s="223" t="s">
        <v>283</v>
      </c>
      <c r="B36" s="224" t="s">
        <v>141</v>
      </c>
      <c r="C36" s="224">
        <v>18</v>
      </c>
      <c r="D36" s="224" t="s">
        <v>284</v>
      </c>
      <c r="E36" s="225" t="str">
        <f t="shared" ca="1" si="0"/>
        <v>R</v>
      </c>
      <c r="F36" s="365"/>
      <c r="G36" s="366">
        <f t="shared" ca="1" si="1"/>
        <v>31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25</v>
      </c>
      <c r="BF36" s="173" t="str">
        <f t="shared" ca="1" si="8"/>
        <v>IDACORP,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IDA</v>
      </c>
    </row>
    <row r="37" spans="1:61" ht="13.9">
      <c r="A37" s="223" t="s">
        <v>297</v>
      </c>
      <c r="B37" s="224" t="s">
        <v>141</v>
      </c>
      <c r="C37" s="224">
        <v>18</v>
      </c>
      <c r="D37" s="224" t="s">
        <v>298</v>
      </c>
      <c r="E37" s="225" t="str">
        <f t="shared" ca="1" si="0"/>
        <v>R</v>
      </c>
      <c r="F37" s="365"/>
      <c r="G37" s="366">
        <f t="shared" ca="1" si="1"/>
        <v>38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39</v>
      </c>
      <c r="AW37" s="168">
        <f>COUNTIF( AV$7:AV37, AV37 )</f>
        <v>10</v>
      </c>
      <c r="AX37" s="208">
        <f t="shared" si="22"/>
        <v>40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7"/>
        <v>33</v>
      </c>
      <c r="BF37" s="173" t="str">
        <f t="shared" ca="1" si="8"/>
        <v>NorthWestern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NWE</v>
      </c>
    </row>
    <row r="38" spans="1:61" ht="13.9">
      <c r="A38" s="223" t="s">
        <v>301</v>
      </c>
      <c r="B38" s="224" t="s">
        <v>141</v>
      </c>
      <c r="C38" s="224">
        <v>18</v>
      </c>
      <c r="D38" s="224" t="s">
        <v>302</v>
      </c>
      <c r="E38" s="225" t="str">
        <f t="shared" ca="1" si="0"/>
        <v>R</v>
      </c>
      <c r="F38" s="365"/>
      <c r="G38" s="366">
        <f t="shared" ca="1" si="1"/>
        <v>44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38</v>
      </c>
      <c r="BF38" s="173" t="str">
        <f t="shared" ca="1" si="8"/>
        <v>PG&amp;E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PCG</v>
      </c>
    </row>
    <row r="39" spans="1:61" ht="13.9">
      <c r="A39" s="223" t="s">
        <v>281</v>
      </c>
      <c r="B39" s="224" t="s">
        <v>141</v>
      </c>
      <c r="C39" s="224">
        <v>18</v>
      </c>
      <c r="D39" s="224" t="s">
        <v>282</v>
      </c>
      <c r="E39" s="225" t="str">
        <f t="shared" ca="1" si="0"/>
        <v>R</v>
      </c>
      <c r="F39" s="365"/>
      <c r="G39" s="366">
        <f t="shared" ca="1" si="1"/>
        <v>45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23</v>
      </c>
      <c r="AW39" s="168">
        <f>COUNTIF( AV$7:AV39, AV39 )</f>
        <v>9</v>
      </c>
      <c r="AX39" s="208">
        <f t="shared" si="22"/>
        <v>23.9</v>
      </c>
      <c r="AY39" s="168">
        <f t="shared" si="23"/>
        <v>31</v>
      </c>
      <c r="AZ39" s="169"/>
      <c r="BA39" s="169"/>
      <c r="BC39" s="168">
        <f t="shared" ca="1" si="24"/>
        <v>33</v>
      </c>
      <c r="BD39" s="209">
        <f t="shared" ca="1" si="7"/>
        <v>39</v>
      </c>
      <c r="BF39" s="173" t="str">
        <f t="shared" ref="BF39:BF63" ca="1" si="25">OFFSET( AQ$6, $BD39, 0 )</f>
        <v>Pinnacle West Capital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PNW</v>
      </c>
    </row>
    <row r="40" spans="1:61" ht="13.9">
      <c r="A40" s="223" t="s">
        <v>285</v>
      </c>
      <c r="B40" s="224" t="s">
        <v>141</v>
      </c>
      <c r="C40" s="224">
        <v>18</v>
      </c>
      <c r="D40" s="224" t="s">
        <v>286</v>
      </c>
      <c r="E40" s="225" t="str">
        <f t="shared" ca="1" si="0"/>
        <v>R</v>
      </c>
      <c r="F40" s="365"/>
      <c r="G40" s="366">
        <f t="shared" ca="1" si="1"/>
        <v>47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173</v>
      </c>
      <c r="AS40" s="207">
        <v>16</v>
      </c>
      <c r="AT40" s="207" t="s">
        <v>412</v>
      </c>
      <c r="AV40" s="168">
        <f t="shared" si="21"/>
        <v>51</v>
      </c>
      <c r="AW40" s="168">
        <f>COUNTIF( AV$7:AV40, AV40 )</f>
        <v>1</v>
      </c>
      <c r="AX40" s="208">
        <f t="shared" si="22"/>
        <v>51.1</v>
      </c>
      <c r="AY40" s="168">
        <f t="shared" si="23"/>
        <v>51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25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3.9">
      <c r="A41" s="223" t="s">
        <v>243</v>
      </c>
      <c r="B41" s="224" t="s">
        <v>141</v>
      </c>
      <c r="C41" s="224">
        <v>18</v>
      </c>
      <c r="D41" s="224" t="s">
        <v>244</v>
      </c>
      <c r="E41" s="225" t="str">
        <f t="shared" ca="1" si="0"/>
        <v>MR</v>
      </c>
      <c r="F41" s="365"/>
      <c r="G41" s="366">
        <f t="shared" ca="1" si="1"/>
        <v>48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140</v>
      </c>
      <c r="AS41" s="207">
        <v>19</v>
      </c>
      <c r="AT41" s="207" t="s">
        <v>278</v>
      </c>
      <c r="AV41" s="168">
        <f t="shared" si="21"/>
        <v>10</v>
      </c>
      <c r="AW41" s="168">
        <f>COUNTIF( AV$7:AV41, AV41 )</f>
        <v>9</v>
      </c>
      <c r="AX41" s="208">
        <f t="shared" si="22"/>
        <v>10.9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25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3.9">
      <c r="A42" s="223" t="s">
        <v>289</v>
      </c>
      <c r="B42" s="224" t="s">
        <v>141</v>
      </c>
      <c r="C42" s="224">
        <v>18</v>
      </c>
      <c r="D42" s="224" t="s">
        <v>290</v>
      </c>
      <c r="E42" s="225" t="str">
        <f t="shared" ca="1" si="0"/>
        <v>MR</v>
      </c>
      <c r="F42" s="365"/>
      <c r="G42" s="366">
        <f t="shared" ca="1" si="1"/>
        <v>50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142</v>
      </c>
      <c r="AS42" s="207">
        <v>17</v>
      </c>
      <c r="AT42" s="207" t="s">
        <v>300</v>
      </c>
      <c r="AV42" s="168">
        <f t="shared" si="21"/>
        <v>39</v>
      </c>
      <c r="AW42" s="168">
        <f>COUNTIF( AV$7:AV42, AV42 )</f>
        <v>11</v>
      </c>
      <c r="AX42" s="208">
        <f t="shared" si="22"/>
        <v>40.1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25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3.9">
      <c r="A43" s="223" t="s">
        <v>389</v>
      </c>
      <c r="B43" s="224" t="s">
        <v>141</v>
      </c>
      <c r="C43" s="224">
        <v>18</v>
      </c>
      <c r="D43" s="224" t="s">
        <v>390</v>
      </c>
      <c r="E43" s="225" t="str">
        <f t="shared" ca="1" si="0"/>
        <v>R</v>
      </c>
      <c r="F43" s="365"/>
      <c r="G43" s="366">
        <f t="shared" ca="1" si="1"/>
        <v>55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10</v>
      </c>
      <c r="AW43" s="168">
        <f>COUNTIF( AV$7:AV43, AV43 )</f>
        <v>10</v>
      </c>
      <c r="AX43" s="208">
        <f t="shared" si="22"/>
        <v>11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25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3.9">
      <c r="A44" s="223" t="s">
        <v>354</v>
      </c>
      <c r="B44" s="224" t="s">
        <v>141</v>
      </c>
      <c r="C44" s="224">
        <v>18</v>
      </c>
      <c r="D44" s="224" t="s">
        <v>355</v>
      </c>
      <c r="E44" s="225" t="str">
        <f t="shared" ca="1" si="0"/>
        <v>R</v>
      </c>
      <c r="F44" s="365"/>
      <c r="G44" s="366">
        <f t="shared" ca="1" si="1"/>
        <v>59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23</v>
      </c>
      <c r="AW44" s="168">
        <f>COUNTIF( AV$7:AV44, AV44 )</f>
        <v>10</v>
      </c>
      <c r="AX44" s="208">
        <f t="shared" si="22"/>
        <v>24</v>
      </c>
      <c r="AY44" s="168">
        <f t="shared" si="23"/>
        <v>32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25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3.9">
      <c r="A45" s="223" t="s">
        <v>225</v>
      </c>
      <c r="B45" s="224" t="s">
        <v>142</v>
      </c>
      <c r="C45" s="224">
        <v>17</v>
      </c>
      <c r="D45" s="224" t="s">
        <v>226</v>
      </c>
      <c r="E45" s="225" t="str">
        <f t="shared" ca="1" si="0"/>
        <v>R</v>
      </c>
      <c r="F45" s="365"/>
      <c r="G45" s="366">
        <f t="shared" ca="1" si="1"/>
        <v>9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/>
      </c>
      <c r="AQ45" s="207" t="s">
        <v>281</v>
      </c>
      <c r="AR45" s="207" t="s">
        <v>141</v>
      </c>
      <c r="AS45" s="207">
        <v>18</v>
      </c>
      <c r="AT45" s="207" t="s">
        <v>282</v>
      </c>
      <c r="AV45" s="168">
        <f t="shared" si="21"/>
        <v>23</v>
      </c>
      <c r="AW45" s="168">
        <f>COUNTIF( AV$7:AV45, AV45 )</f>
        <v>11</v>
      </c>
      <c r="AX45" s="208">
        <f t="shared" si="22"/>
        <v>24.1</v>
      </c>
      <c r="AY45" s="168">
        <f t="shared" si="23"/>
        <v>33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25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3.9">
      <c r="A46" s="223" t="s">
        <v>245</v>
      </c>
      <c r="B46" s="224" t="s">
        <v>142</v>
      </c>
      <c r="C46" s="224">
        <v>17</v>
      </c>
      <c r="D46" s="224" t="s">
        <v>246</v>
      </c>
      <c r="E46" s="225" t="str">
        <f t="shared" ca="1" si="0"/>
        <v>MR</v>
      </c>
      <c r="F46" s="365"/>
      <c r="G46" s="366">
        <f t="shared" ca="1" si="1"/>
        <v>12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303</v>
      </c>
      <c r="AR46" s="207" t="s">
        <v>142</v>
      </c>
      <c r="AS46" s="207">
        <v>17</v>
      </c>
      <c r="AT46" s="207" t="s">
        <v>304</v>
      </c>
      <c r="AV46" s="168">
        <f t="shared" si="21"/>
        <v>39</v>
      </c>
      <c r="AW46" s="168">
        <f>COUNTIF( AV$7:AV46, AV46 )</f>
        <v>12</v>
      </c>
      <c r="AX46" s="208">
        <f t="shared" si="22"/>
        <v>40.200000000000003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25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3.9">
      <c r="A47" s="223" t="s">
        <v>256</v>
      </c>
      <c r="B47" s="224" t="s">
        <v>142</v>
      </c>
      <c r="C47" s="224">
        <v>17</v>
      </c>
      <c r="D47" s="224" t="s">
        <v>257</v>
      </c>
      <c r="E47" s="225" t="str">
        <f t="shared" ca="1" si="0"/>
        <v>R</v>
      </c>
      <c r="F47" s="365"/>
      <c r="G47" s="366">
        <f t="shared" ca="1" si="1"/>
        <v>17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25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3.9">
      <c r="A48" s="223" t="s">
        <v>259</v>
      </c>
      <c r="B48" s="224" t="s">
        <v>142</v>
      </c>
      <c r="C48" s="224">
        <v>17</v>
      </c>
      <c r="D48" s="224" t="s">
        <v>260</v>
      </c>
      <c r="E48" s="225" t="str">
        <f t="shared" ca="1" si="0"/>
        <v>R</v>
      </c>
      <c r="F48" s="365"/>
      <c r="G48" s="366">
        <f t="shared" ca="1" si="1"/>
        <v>64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12</v>
      </c>
      <c r="BF48" s="173" t="str">
        <f t="shared" ca="1" si="25"/>
        <v>DPL Inc.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**DPL</v>
      </c>
    </row>
    <row r="49" spans="1:61" ht="13.9">
      <c r="A49" s="223" t="s">
        <v>265</v>
      </c>
      <c r="B49" s="224" t="s">
        <v>142</v>
      </c>
      <c r="C49" s="224">
        <v>17</v>
      </c>
      <c r="D49" s="224" t="s">
        <v>266</v>
      </c>
      <c r="E49" s="225" t="str">
        <f t="shared" ca="1" si="0"/>
        <v>R</v>
      </c>
      <c r="F49" s="365"/>
      <c r="G49" s="366">
        <f t="shared" ca="1" si="1"/>
        <v>23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289</v>
      </c>
      <c r="AR49" s="207" t="s">
        <v>141</v>
      </c>
      <c r="AS49" s="207">
        <v>18</v>
      </c>
      <c r="AT49" s="207" t="s">
        <v>290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EIX</v>
      </c>
    </row>
    <row r="50" spans="1:61" ht="13.9">
      <c r="A50" s="223" t="s">
        <v>367</v>
      </c>
      <c r="B50" s="224" t="s">
        <v>142</v>
      </c>
      <c r="C50" s="224">
        <v>17</v>
      </c>
      <c r="D50" s="224" t="s">
        <v>368</v>
      </c>
      <c r="E50" s="225" t="str">
        <f t="shared" ca="1" si="0"/>
        <v>R</v>
      </c>
      <c r="F50" s="365"/>
      <c r="G50" s="366">
        <f t="shared" ca="1" si="1"/>
        <v>25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1"/>
        <v>51</v>
      </c>
      <c r="AW50" s="168">
        <f>COUNTIF( AV$7:AV50, AV50 )</f>
        <v>2</v>
      </c>
      <c r="AX50" s="208">
        <f t="shared" si="22"/>
        <v>51.2</v>
      </c>
      <c r="AY50" s="168">
        <f t="shared" si="23"/>
        <v>52</v>
      </c>
      <c r="AZ50" s="169"/>
      <c r="BA50" s="169"/>
      <c r="BC50" s="168">
        <f t="shared" ca="1" si="24"/>
        <v>44</v>
      </c>
      <c r="BD50" s="209">
        <f t="shared" ca="1" si="7"/>
        <v>17</v>
      </c>
      <c r="BF50" s="173" t="str">
        <f t="shared" ca="1" si="25"/>
        <v>Empire District Electric Company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EDE</v>
      </c>
    </row>
    <row r="51" spans="1:61" ht="13.9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0"/>
        <v>MR</v>
      </c>
      <c r="F51" s="365"/>
      <c r="G51" s="366">
        <f t="shared" ca="1" si="1"/>
        <v>28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21</v>
      </c>
      <c r="BF51" s="173" t="str">
        <f t="shared" ca="1" si="25"/>
        <v>FirstEnergy Corp.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FE</v>
      </c>
    </row>
    <row r="52" spans="1:61" ht="13.9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0"/>
        <v>D</v>
      </c>
      <c r="F52" s="365"/>
      <c r="G52" s="366">
        <f t="shared" ca="1" si="1"/>
        <v>30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23</v>
      </c>
      <c r="BF52" s="173" t="str">
        <f t="shared" ca="1" si="25"/>
        <v>Hawaiian Electric Industries,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HE</v>
      </c>
    </row>
    <row r="53" spans="1:61" ht="13.9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0"/>
        <v>R</v>
      </c>
      <c r="F53" s="365"/>
      <c r="G53" s="366">
        <f t="shared" ca="1" si="1"/>
        <v>66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27</v>
      </c>
      <c r="BF53" s="173" t="str">
        <f t="shared" ca="1" si="25"/>
        <v>IPALCO Enterprises,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**IPALCO</v>
      </c>
    </row>
    <row r="54" spans="1:61" ht="13.9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0"/>
        <v>MR</v>
      </c>
      <c r="F54" s="365"/>
      <c r="G54" s="366">
        <f t="shared" ca="1" si="1"/>
        <v>36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31</v>
      </c>
      <c r="BF54" s="173" t="str">
        <f t="shared" ca="1" si="25"/>
        <v>NiSource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NI</v>
      </c>
    </row>
    <row r="55" spans="1:61" ht="13.9">
      <c r="A55" s="223" t="s">
        <v>299</v>
      </c>
      <c r="B55" s="224" t="s">
        <v>142</v>
      </c>
      <c r="C55" s="224">
        <v>17</v>
      </c>
      <c r="D55" s="224" t="s">
        <v>300</v>
      </c>
      <c r="E55" s="225" t="str">
        <f t="shared" ca="1" si="0"/>
        <v>MR</v>
      </c>
      <c r="F55" s="365"/>
      <c r="G55" s="366">
        <f t="shared" ca="1" si="1"/>
        <v>42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OTTR</v>
      </c>
    </row>
    <row r="56" spans="1:61" ht="13.9">
      <c r="A56" s="223" t="s">
        <v>303</v>
      </c>
      <c r="B56" s="224" t="s">
        <v>142</v>
      </c>
      <c r="C56" s="224">
        <v>17</v>
      </c>
      <c r="D56" s="224" t="s">
        <v>304</v>
      </c>
      <c r="E56" s="225" t="str">
        <f t="shared" ca="1" si="0"/>
        <v>R</v>
      </c>
      <c r="F56" s="365"/>
      <c r="G56" s="366">
        <f t="shared" ca="1" si="1"/>
        <v>46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PNM</v>
      </c>
    </row>
    <row r="57" spans="1:61" ht="13.9">
      <c r="A57" s="223" t="s">
        <v>411</v>
      </c>
      <c r="B57" s="224" t="s">
        <v>173</v>
      </c>
      <c r="C57" s="224">
        <v>16</v>
      </c>
      <c r="D57" s="224" t="s">
        <v>412</v>
      </c>
      <c r="E57" s="225" t="str">
        <f t="shared" ca="1" si="0"/>
        <v>R</v>
      </c>
      <c r="F57" s="365"/>
      <c r="G57" s="366">
        <f t="shared" ca="1" si="1"/>
        <v>40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34</v>
      </c>
      <c r="BF57" s="173" t="str">
        <f t="shared" ca="1" si="25"/>
        <v>NV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NVE</v>
      </c>
    </row>
    <row r="58" spans="1:61" ht="13.9">
      <c r="A58" s="223" t="s">
        <v>305</v>
      </c>
      <c r="B58" s="224" t="s">
        <v>173</v>
      </c>
      <c r="C58" s="224">
        <v>16</v>
      </c>
      <c r="D58" s="224" t="s">
        <v>306</v>
      </c>
      <c r="E58" s="225" t="str">
        <f t="shared" ca="1" si="0"/>
        <v>R</v>
      </c>
      <c r="F58" s="365"/>
      <c r="G58" s="366">
        <f t="shared" ca="1" si="1"/>
        <v>68</v>
      </c>
      <c r="H58" s="367"/>
      <c r="I58" s="367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44</v>
      </c>
      <c r="BF58" s="173" t="str">
        <f t="shared" ca="1" si="25"/>
        <v>Puget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**PSD</v>
      </c>
    </row>
    <row r="59" spans="1:61" ht="13.9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65"/>
      <c r="G59" s="366">
        <f t="shared" ca="1" si="1"/>
        <v>65</v>
      </c>
      <c r="H59" s="367"/>
      <c r="I59" s="367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3.9">
      <c r="A60" s="180"/>
      <c r="B60" s="181"/>
      <c r="C60" s="181"/>
      <c r="D60" s="181"/>
      <c r="E60" s="182"/>
      <c r="F60" s="367"/>
      <c r="G60" s="370" t="str">
        <f t="shared" ca="1" si="1"/>
        <v/>
      </c>
      <c r="H60" s="367"/>
      <c r="I60" s="367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1"/>
        <v/>
      </c>
      <c r="H61" s="367"/>
      <c r="I61" s="367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1"/>
        <v>34</v>
      </c>
      <c r="H62" s="367"/>
      <c r="I62" s="367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9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65"/>
      <c r="G63" s="366">
        <f t="shared" ca="1" si="1"/>
        <v>15</v>
      </c>
      <c r="H63" s="367"/>
      <c r="I63" s="367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9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65"/>
      <c r="G64" s="366">
        <f t="shared" ca="1" si="1"/>
        <v>57</v>
      </c>
      <c r="H64" s="367"/>
      <c r="I64" s="367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384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 t="s">
        <v>401</v>
      </c>
      <c r="B65" s="229"/>
      <c r="C65" s="224"/>
      <c r="D65" s="224" t="s">
        <v>376</v>
      </c>
      <c r="E65" s="225" t="str">
        <f ca="1">OFFSET( INDIRECT( E$3 &amp; E$4 ), $G65 - 1, 0 )</f>
        <v>R</v>
      </c>
      <c r="F65" s="365"/>
      <c r="G65" s="366">
        <f t="shared" ca="1" si="1"/>
        <v>56</v>
      </c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416</v>
      </c>
      <c r="AR65" s="207" t="s">
        <v>166</v>
      </c>
      <c r="AS65" s="207">
        <v>21</v>
      </c>
      <c r="AT65" s="207" t="s">
        <v>417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399</v>
      </c>
      <c r="AR66" s="207" t="s">
        <v>173</v>
      </c>
      <c r="AS66" s="207">
        <v>16</v>
      </c>
      <c r="AT66" s="207" t="s">
        <v>400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295</v>
      </c>
      <c r="AR67" s="207" t="s">
        <v>423</v>
      </c>
      <c r="AS67" s="207"/>
      <c r="AT67" s="207" t="s">
        <v>376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18.232142857142858</v>
      </c>
      <c r="D68" s="201"/>
      <c r="E68" s="201"/>
      <c r="F68" s="367"/>
      <c r="H68" s="367"/>
      <c r="I68" s="367"/>
      <c r="J68" s="368"/>
      <c r="K68" s="368"/>
      <c r="AQ68" s="207" t="s">
        <v>424</v>
      </c>
      <c r="AR68" s="207" t="s">
        <v>423</v>
      </c>
      <c r="AS68" s="207"/>
      <c r="AT68" s="207" t="s">
        <v>425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419</v>
      </c>
      <c r="B73" s="173"/>
      <c r="D73" s="173"/>
      <c r="E73" s="173"/>
      <c r="F73" s="204"/>
      <c r="H73" s="204"/>
      <c r="I73" s="204"/>
    </row>
    <row r="74" spans="1:58">
      <c r="A74" s="205" t="s">
        <v>314</v>
      </c>
      <c r="B74" s="173"/>
      <c r="D74" s="173"/>
      <c r="E74" s="173"/>
      <c r="F74" s="204"/>
      <c r="H74" s="204"/>
      <c r="I74" s="204"/>
    </row>
    <row r="75" spans="1:58">
      <c r="A75" s="205" t="s">
        <v>403</v>
      </c>
      <c r="D75" s="204"/>
      <c r="F75" s="206"/>
      <c r="H75" s="206"/>
      <c r="I75" s="206"/>
    </row>
    <row r="76" spans="1:58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D77" s="204"/>
      <c r="F77" s="206"/>
      <c r="H77" s="206"/>
      <c r="I77" s="206"/>
      <c r="AQ77" s="207"/>
      <c r="AR77" s="207"/>
      <c r="AS77" s="207"/>
    </row>
    <row r="78" spans="1:58">
      <c r="A78" s="203"/>
      <c r="AQ78" s="207"/>
      <c r="AR78" s="207"/>
      <c r="AS78" s="207"/>
    </row>
    <row r="79" spans="1:58">
      <c r="C79" s="190">
        <f>SUMPRODUCT( L8:L13, Y8:Y13 ) / L14</f>
        <v>18.321428571428573</v>
      </c>
      <c r="E79" s="191"/>
      <c r="G79" s="370"/>
      <c r="J79" s="173"/>
      <c r="K79" s="173"/>
      <c r="AQ79" s="207"/>
      <c r="AR79" s="207"/>
      <c r="AS79" s="207"/>
    </row>
    <row r="80" spans="1:58" s="173" customFormat="1" ht="13.9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>
      <c r="AQ81" s="207"/>
      <c r="AR81" s="207"/>
      <c r="AS81" s="207"/>
    </row>
    <row r="82" spans="43:45">
      <c r="AQ82" s="207"/>
      <c r="AR82" s="207"/>
      <c r="AS82" s="207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-- 2012 Q2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Reg_Percent_2011</v>
      </c>
      <c r="G2" s="172" t="s">
        <v>414</v>
      </c>
      <c r="AJ2" s="173" t="str">
        <f>AJ4 &amp; AJ3</f>
        <v>'Credit_2012Q1'!a:a</v>
      </c>
      <c r="AK2" s="173" t="str">
        <f>AK4 &amp; AK3</f>
        <v>'Credit_2012Q1'!b1</v>
      </c>
      <c r="AL2" s="173" t="str">
        <f>AL4 &amp; AL3</f>
        <v>'Credit_2012Q1'!c1</v>
      </c>
    </row>
    <row r="3" spans="1:61" ht="18" hidden="1" outlineLevel="1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426</v>
      </c>
      <c r="AK4" s="169" t="str">
        <f>AJ4</f>
        <v>'Credit_2012Q1'!</v>
      </c>
      <c r="AL4" s="169" t="str">
        <f>AK4</f>
        <v>'Credit_2012Q1'!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(57)</v>
      </c>
      <c r="M5" s="359"/>
      <c r="N5" s="230"/>
      <c r="O5" s="357" t="str">
        <f ca="1">"Regulated" &amp; CHAR( 10 ) &amp; "(" &amp; O14 &amp; ")"</f>
        <v>Regulated
(37)</v>
      </c>
      <c r="P5" s="361"/>
      <c r="Q5" s="230"/>
      <c r="R5" s="357" t="str">
        <f ca="1">"Mostly Regulated" &amp; CHAR( 10 ) &amp; "(" &amp; R14 &amp; ")"</f>
        <v>Mostly Regulated
(17)</v>
      </c>
      <c r="S5" s="361"/>
      <c r="T5" s="230"/>
      <c r="U5" s="357" t="str">
        <f ca="1">"Diversified" &amp; CHAR( 10 ) &amp; "(" &amp; U14 &amp; ")"</f>
        <v>Diversified
(2)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49</v>
      </c>
      <c r="C6" s="249" t="s">
        <v>214</v>
      </c>
      <c r="D6" s="221"/>
      <c r="E6" s="222">
        <v>40908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65"/>
      <c r="G7" s="366">
        <f t="shared" ref="G7:G65" ca="1" si="1">IF( LEN( $D7 ) = 0, "", MATCH( $D7, INDIRECT( G$3 &amp; G$4 ), 0 ) )</f>
        <v>53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48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9">
      <c r="A8" s="223" t="s">
        <v>227</v>
      </c>
      <c r="B8" s="224" t="s">
        <v>139</v>
      </c>
      <c r="C8" s="224">
        <v>20</v>
      </c>
      <c r="D8" s="224" t="s">
        <v>228</v>
      </c>
      <c r="E8" s="225" t="str">
        <f t="shared" ca="1" si="0"/>
        <v>R</v>
      </c>
      <c r="F8" s="365"/>
      <c r="G8" s="366">
        <f t="shared" ca="1" si="1"/>
        <v>18</v>
      </c>
      <c r="H8" s="367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5.2631578947368418E-2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5.4054054054054057E-2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11</v>
      </c>
      <c r="AW8" s="168">
        <f>COUNTIF( AV$7:AV8, AV8 )</f>
        <v>2</v>
      </c>
      <c r="AX8" s="208">
        <f t="shared" ref="AX8:AX63" si="22">AV8 + AW8 / 10</f>
        <v>11.2</v>
      </c>
      <c r="AY8" s="168">
        <f t="shared" ref="AY8:AY63" si="23">RANK( AX8, $AX$7:$AX$63, 1 )</f>
        <v>12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9">
      <c r="A9" s="223" t="s">
        <v>361</v>
      </c>
      <c r="B9" s="224" t="s">
        <v>139</v>
      </c>
      <c r="C9" s="224">
        <v>20</v>
      </c>
      <c r="D9" s="224" t="s">
        <v>194</v>
      </c>
      <c r="E9" s="225" t="str">
        <f t="shared" ca="1" si="0"/>
        <v>MR</v>
      </c>
      <c r="F9" s="365"/>
      <c r="G9" s="366">
        <f t="shared" ca="1" si="1"/>
        <v>20</v>
      </c>
      <c r="H9" s="367"/>
      <c r="I9" s="234"/>
      <c r="J9" s="215" t="s">
        <v>139</v>
      </c>
      <c r="K9" s="234"/>
      <c r="L9" s="215">
        <f t="shared" si="10"/>
        <v>9</v>
      </c>
      <c r="M9" s="216">
        <f t="shared" si="11"/>
        <v>0.15789473684210525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0.17647058823529413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68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40</v>
      </c>
      <c r="AW9" s="168">
        <f>COUNTIF( AV$7:AV9, AV9 )</f>
        <v>1</v>
      </c>
      <c r="AX9" s="208">
        <f t="shared" si="22"/>
        <v>40.1</v>
      </c>
      <c r="AY9" s="168">
        <f t="shared" si="23"/>
        <v>40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9">
      <c r="A10" s="223" t="s">
        <v>263</v>
      </c>
      <c r="B10" s="224" t="s">
        <v>139</v>
      </c>
      <c r="C10" s="224">
        <v>20</v>
      </c>
      <c r="D10" s="224" t="s">
        <v>264</v>
      </c>
      <c r="E10" s="225" t="str">
        <f t="shared" ca="1" si="0"/>
        <v>MR</v>
      </c>
      <c r="F10" s="365"/>
      <c r="G10" s="366">
        <f t="shared" ca="1" si="1"/>
        <v>22</v>
      </c>
      <c r="H10" s="367"/>
      <c r="I10" s="234"/>
      <c r="J10" s="215" t="s">
        <v>140</v>
      </c>
      <c r="K10" s="234"/>
      <c r="L10" s="215">
        <f t="shared" si="10"/>
        <v>13</v>
      </c>
      <c r="M10" s="216">
        <f t="shared" si="11"/>
        <v>0.22807017543859648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0.35294117647058826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24</v>
      </c>
      <c r="AW10" s="168">
        <f>COUNTIF( AV$7:AV10, AV10 )</f>
        <v>1</v>
      </c>
      <c r="AX10" s="208">
        <f t="shared" si="22"/>
        <v>24.1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14</v>
      </c>
      <c r="BF10" s="173" t="str">
        <f t="shared" ca="1" si="8"/>
        <v>Duke Energy Corporation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DUK</v>
      </c>
    </row>
    <row r="11" spans="1:61" ht="13.9">
      <c r="A11" s="223" t="s">
        <v>395</v>
      </c>
      <c r="B11" s="224" t="s">
        <v>139</v>
      </c>
      <c r="C11" s="224">
        <v>20</v>
      </c>
      <c r="D11" s="224" t="s">
        <v>396</v>
      </c>
      <c r="E11" s="225" t="str">
        <f t="shared" ca="1" si="0"/>
        <v>R</v>
      </c>
      <c r="F11" s="365"/>
      <c r="G11" s="366">
        <f t="shared" ca="1" si="1"/>
        <v>32</v>
      </c>
      <c r="H11" s="367"/>
      <c r="I11" s="234"/>
      <c r="J11" s="215" t="s">
        <v>141</v>
      </c>
      <c r="K11" s="234"/>
      <c r="L11" s="215">
        <f t="shared" si="10"/>
        <v>16</v>
      </c>
      <c r="M11" s="216">
        <f t="shared" si="11"/>
        <v>0.2807017543859649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13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24</v>
      </c>
      <c r="AW11" s="168">
        <f>COUNTIF( AV$7:AV11, AV11 )</f>
        <v>2</v>
      </c>
      <c r="AX11" s="208">
        <f t="shared" si="22"/>
        <v>24.2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TEG</v>
      </c>
    </row>
    <row r="12" spans="1:61" ht="13.9">
      <c r="A12" s="223" t="s">
        <v>240</v>
      </c>
      <c r="B12" s="224" t="s">
        <v>139</v>
      </c>
      <c r="C12" s="224">
        <v>20</v>
      </c>
      <c r="D12" s="224" t="s">
        <v>241</v>
      </c>
      <c r="E12" s="225" t="str">
        <f t="shared" ca="1" si="0"/>
        <v>MR</v>
      </c>
      <c r="F12" s="365"/>
      <c r="G12" s="366">
        <f t="shared" ca="1" si="1"/>
        <v>35</v>
      </c>
      <c r="H12" s="367"/>
      <c r="I12" s="234"/>
      <c r="J12" s="215" t="s">
        <v>142</v>
      </c>
      <c r="K12" s="234"/>
      <c r="L12" s="215">
        <f t="shared" si="10"/>
        <v>12</v>
      </c>
      <c r="M12" s="216">
        <f t="shared" si="11"/>
        <v>0.21052631578947367</v>
      </c>
      <c r="N12" s="234"/>
      <c r="O12" s="215">
        <f t="shared" ca="1" si="12"/>
        <v>7</v>
      </c>
      <c r="P12" s="216">
        <f t="shared" ca="1" si="13"/>
        <v>0.1891891891891892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40</v>
      </c>
      <c r="AW12" s="168">
        <f>COUNTIF( AV$7:AV12, AV12 )</f>
        <v>2</v>
      </c>
      <c r="AX12" s="208">
        <f t="shared" si="22"/>
        <v>40.200000000000003</v>
      </c>
      <c r="AY12" s="168">
        <f t="shared" si="23"/>
        <v>41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NEE</v>
      </c>
    </row>
    <row r="13" spans="1:61" ht="13.9">
      <c r="A13" s="223" t="s">
        <v>394</v>
      </c>
      <c r="B13" s="224" t="s">
        <v>139</v>
      </c>
      <c r="C13" s="224">
        <v>20</v>
      </c>
      <c r="D13" s="224" t="s">
        <v>236</v>
      </c>
      <c r="E13" s="225" t="str">
        <f t="shared" ca="1" si="0"/>
        <v>R</v>
      </c>
      <c r="F13" s="365"/>
      <c r="G13" s="366">
        <f t="shared" ca="1" si="1"/>
        <v>37</v>
      </c>
      <c r="H13" s="367"/>
      <c r="I13" s="235"/>
      <c r="J13" s="217" t="s">
        <v>143</v>
      </c>
      <c r="K13" s="235"/>
      <c r="L13" s="217">
        <f t="shared" si="10"/>
        <v>4</v>
      </c>
      <c r="M13" s="218">
        <f t="shared" si="11"/>
        <v>7.0175438596491224E-2</v>
      </c>
      <c r="N13" s="235"/>
      <c r="O13" s="217">
        <f t="shared" ca="1" si="12"/>
        <v>3</v>
      </c>
      <c r="P13" s="218">
        <f t="shared" ca="1" si="13"/>
        <v>8.1081081081081086E-2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24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11</v>
      </c>
      <c r="AW13" s="168">
        <f>COUNTIF( AV$7:AV13, AV13 )</f>
        <v>3</v>
      </c>
      <c r="AX13" s="208">
        <f t="shared" si="22"/>
        <v>11.3</v>
      </c>
      <c r="AY13" s="168">
        <f t="shared" si="23"/>
        <v>13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ES</v>
      </c>
    </row>
    <row r="14" spans="1:61" ht="13.9">
      <c r="A14" s="223" t="s">
        <v>345</v>
      </c>
      <c r="B14" s="224" t="s">
        <v>139</v>
      </c>
      <c r="C14" s="224">
        <v>20</v>
      </c>
      <c r="D14" s="224" t="s">
        <v>346</v>
      </c>
      <c r="E14" s="225" t="str">
        <f t="shared" ca="1" si="0"/>
        <v>R</v>
      </c>
      <c r="F14" s="365"/>
      <c r="G14" s="366">
        <f t="shared" ca="1" si="1"/>
        <v>58</v>
      </c>
      <c r="H14" s="367"/>
      <c r="I14" s="236"/>
      <c r="J14" s="211" t="s">
        <v>144</v>
      </c>
      <c r="K14" s="236"/>
      <c r="L14" s="211">
        <f>SUM(L8:L13)</f>
        <v>57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18.350877192982455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24</v>
      </c>
      <c r="AW14" s="168">
        <f>COUNTIF( AV$7:AV14, AV14 )</f>
        <v>3</v>
      </c>
      <c r="AX14" s="208">
        <f t="shared" si="22"/>
        <v>24.3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51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VVC</v>
      </c>
    </row>
    <row r="15" spans="1:61" ht="13.9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0"/>
        <v>R</v>
      </c>
      <c r="F15" s="365"/>
      <c r="G15" s="366">
        <f t="shared" ca="1" si="1"/>
        <v>60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40</v>
      </c>
      <c r="AW15" s="168">
        <f>COUNTIF( AV$7:AV15, AV15 )</f>
        <v>3</v>
      </c>
      <c r="AX15" s="208">
        <f t="shared" si="22"/>
        <v>40.299999999999997</v>
      </c>
      <c r="AY15" s="168">
        <f t="shared" si="23"/>
        <v>42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WEC</v>
      </c>
    </row>
    <row r="16" spans="1:61" ht="13.9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0"/>
        <v>R</v>
      </c>
      <c r="F16" s="365"/>
      <c r="G16" s="366">
        <f t="shared" ca="1" si="1"/>
        <v>61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18.263157894736842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18.297297297297298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18.764705882352942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18</v>
      </c>
      <c r="V16" s="356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XEL</v>
      </c>
    </row>
    <row r="17" spans="1:61" ht="13.9">
      <c r="A17" s="223" t="s">
        <v>217</v>
      </c>
      <c r="B17" s="224" t="s">
        <v>140</v>
      </c>
      <c r="C17" s="224">
        <v>19</v>
      </c>
      <c r="D17" s="224" t="s">
        <v>218</v>
      </c>
      <c r="E17" s="225" t="str">
        <f t="shared" ca="1" si="0"/>
        <v>R</v>
      </c>
      <c r="F17" s="365"/>
      <c r="G17" s="366">
        <f t="shared" ca="1" si="1"/>
        <v>7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ALE</v>
      </c>
    </row>
    <row r="18" spans="1:61" ht="13.9">
      <c r="A18" s="223" t="s">
        <v>219</v>
      </c>
      <c r="B18" s="224" t="s">
        <v>140</v>
      </c>
      <c r="C18" s="224">
        <v>19</v>
      </c>
      <c r="D18" s="224" t="s">
        <v>220</v>
      </c>
      <c r="E18" s="225" t="str">
        <f t="shared" ca="1" si="0"/>
        <v>R</v>
      </c>
      <c r="F18" s="365"/>
      <c r="G18" s="366">
        <f t="shared" ca="1" si="1"/>
        <v>8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142</v>
      </c>
      <c r="AS18" s="207">
        <v>17</v>
      </c>
      <c r="AT18" s="207" t="s">
        <v>260</v>
      </c>
      <c r="AV18" s="168">
        <f t="shared" si="21"/>
        <v>40</v>
      </c>
      <c r="AW18" s="168">
        <f>COUNTIF( AV$7:AV18, AV18 )</f>
        <v>4</v>
      </c>
      <c r="AX18" s="208">
        <f t="shared" si="22"/>
        <v>40.4</v>
      </c>
      <c r="AY18" s="168">
        <f t="shared" si="23"/>
        <v>43</v>
      </c>
      <c r="AZ18" s="169"/>
      <c r="BA18" s="169"/>
      <c r="BC18" s="168">
        <f t="shared" ca="1" si="24"/>
        <v>12</v>
      </c>
      <c r="BD18" s="209">
        <f t="shared" ca="1" si="7"/>
        <v>2</v>
      </c>
      <c r="BF18" s="173" t="str">
        <f t="shared" ca="1" si="8"/>
        <v>Alliant Energy Corporation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LNT</v>
      </c>
    </row>
    <row r="19" spans="1:61" ht="13.9">
      <c r="A19" s="223" t="s">
        <v>249</v>
      </c>
      <c r="B19" s="224" t="s">
        <v>140</v>
      </c>
      <c r="C19" s="224">
        <v>19</v>
      </c>
      <c r="D19" s="224" t="s">
        <v>250</v>
      </c>
      <c r="E19" s="225" t="str">
        <f t="shared" ca="1" si="0"/>
        <v>MR</v>
      </c>
      <c r="F19" s="365"/>
      <c r="G19" s="366">
        <f t="shared" ca="1" si="1"/>
        <v>13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11</v>
      </c>
      <c r="AW19" s="168">
        <f>COUNTIF( AV$7:AV19, AV19 )</f>
        <v>4</v>
      </c>
      <c r="AX19" s="208">
        <f t="shared" si="22"/>
        <v>11.4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7</v>
      </c>
      <c r="BF19" s="173" t="str">
        <f t="shared" ca="1" si="8"/>
        <v>CenterPoint Energy,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CNP</v>
      </c>
    </row>
    <row r="20" spans="1:61" ht="13.9">
      <c r="A20" s="223" t="s">
        <v>261</v>
      </c>
      <c r="B20" s="224" t="s">
        <v>140</v>
      </c>
      <c r="C20" s="224">
        <v>19</v>
      </c>
      <c r="D20" s="224" t="s">
        <v>262</v>
      </c>
      <c r="E20" s="225" t="str">
        <f t="shared" ca="1" si="0"/>
        <v>R</v>
      </c>
      <c r="F20" s="365"/>
      <c r="G20" s="366">
        <f t="shared" ca="1" si="1"/>
        <v>21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21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139</v>
      </c>
      <c r="AS20" s="207">
        <v>20</v>
      </c>
      <c r="AT20" s="207" t="s">
        <v>264</v>
      </c>
      <c r="AV20" s="168">
        <f t="shared" si="21"/>
        <v>2</v>
      </c>
      <c r="AW20" s="168">
        <f>COUNTIF( AV$7:AV20, AV20 )</f>
        <v>3</v>
      </c>
      <c r="AX20" s="208">
        <f t="shared" si="22"/>
        <v>2.2999999999999998</v>
      </c>
      <c r="AY20" s="168">
        <f t="shared" si="23"/>
        <v>4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3.9">
      <c r="A21" s="223" t="s">
        <v>387</v>
      </c>
      <c r="B21" s="224" t="s">
        <v>140</v>
      </c>
      <c r="C21" s="224">
        <v>19</v>
      </c>
      <c r="D21" s="224" t="s">
        <v>388</v>
      </c>
      <c r="E21" s="225" t="str">
        <f t="shared" ca="1" si="0"/>
        <v>R</v>
      </c>
      <c r="F21" s="365"/>
      <c r="G21" s="366">
        <f t="shared" ca="1" si="1"/>
        <v>63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>
        <f t="shared" ca="1" si="19"/>
        <v>1</v>
      </c>
      <c r="AJ21" s="169">
        <f t="shared" ca="1" si="4"/>
        <v>12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5"/>
        <v>Change</v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40</v>
      </c>
      <c r="AW21" s="168">
        <f>COUNTIF( AV$7:AV21, AV21 )</f>
        <v>5</v>
      </c>
      <c r="AX21" s="208">
        <f t="shared" si="22"/>
        <v>40.5</v>
      </c>
      <c r="AY21" s="168">
        <f t="shared" si="23"/>
        <v>44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3.9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65"/>
      <c r="G22" s="366">
        <f t="shared" ca="1" si="1"/>
        <v>33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24</v>
      </c>
      <c r="AW22" s="168">
        <f>COUNTIF( AV$7:AV22, AV22 )</f>
        <v>4</v>
      </c>
      <c r="AX22" s="208">
        <f t="shared" si="22"/>
        <v>24.4</v>
      </c>
      <c r="AY22" s="168">
        <f t="shared" si="23"/>
        <v>27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9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65"/>
      <c r="G23" s="366">
        <f t="shared" ca="1" si="1"/>
        <v>67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40</v>
      </c>
      <c r="AW23" s="168">
        <f>COUNTIF( AV$7:AV23, AV23 )</f>
        <v>6</v>
      </c>
      <c r="AX23" s="208">
        <f t="shared" si="22"/>
        <v>40.6</v>
      </c>
      <c r="AY23" s="168">
        <f t="shared" si="23"/>
        <v>45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9">
      <c r="A24" s="223" t="s">
        <v>277</v>
      </c>
      <c r="B24" s="224" t="s">
        <v>140</v>
      </c>
      <c r="C24" s="224">
        <v>19</v>
      </c>
      <c r="D24" s="224" t="s">
        <v>278</v>
      </c>
      <c r="E24" s="225" t="str">
        <f t="shared" ca="1" si="0"/>
        <v>MR</v>
      </c>
      <c r="F24" s="365"/>
      <c r="G24" s="366">
        <f t="shared" ca="1" si="1"/>
        <v>41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54</v>
      </c>
      <c r="AW24" s="168">
        <f>COUNTIF( AV$7:AV24, AV24 )</f>
        <v>1</v>
      </c>
      <c r="AX24" s="208">
        <f t="shared" si="22"/>
        <v>54.1</v>
      </c>
      <c r="AY24" s="168">
        <f t="shared" si="23"/>
        <v>54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3.9">
      <c r="A25" s="223" t="s">
        <v>382</v>
      </c>
      <c r="B25" s="224" t="s">
        <v>140</v>
      </c>
      <c r="C25" s="224">
        <v>19</v>
      </c>
      <c r="D25" s="224" t="s">
        <v>383</v>
      </c>
      <c r="E25" s="225" t="str">
        <f t="shared" ca="1" si="0"/>
        <v>MR</v>
      </c>
      <c r="F25" s="365"/>
      <c r="G25" s="366">
        <f t="shared" ca="1" si="1"/>
        <v>43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24</v>
      </c>
      <c r="AW25" s="168">
        <f>COUNTIF( AV$7:AV25, AV25 )</f>
        <v>5</v>
      </c>
      <c r="AX25" s="208">
        <f t="shared" si="22"/>
        <v>24.5</v>
      </c>
      <c r="AY25" s="168">
        <f t="shared" si="23"/>
        <v>28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3.9">
      <c r="A26" s="223" t="s">
        <v>427</v>
      </c>
      <c r="B26" s="224" t="s">
        <v>140</v>
      </c>
      <c r="C26" s="224">
        <v>19</v>
      </c>
      <c r="D26" s="224" t="s">
        <v>428</v>
      </c>
      <c r="E26" s="225" t="str">
        <f t="shared" ca="1" si="0"/>
        <v>R</v>
      </c>
      <c r="F26" s="365"/>
      <c r="G26" s="366">
        <f t="shared" ca="1" si="1"/>
        <v>49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24</v>
      </c>
      <c r="AW26" s="168">
        <f>COUNTIF( AV$7:AV26, AV26 )</f>
        <v>6</v>
      </c>
      <c r="AX26" s="208">
        <f t="shared" si="22"/>
        <v>24.6</v>
      </c>
      <c r="AY26" s="168">
        <f t="shared" si="23"/>
        <v>29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Progress Energy,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PGN</v>
      </c>
    </row>
    <row r="27" spans="1:61" ht="13.9">
      <c r="A27" s="223" t="s">
        <v>347</v>
      </c>
      <c r="B27" s="224" t="s">
        <v>140</v>
      </c>
      <c r="C27" s="224">
        <v>19</v>
      </c>
      <c r="D27" s="224" t="s">
        <v>348</v>
      </c>
      <c r="E27" s="225" t="str">
        <f t="shared" ca="1" si="0"/>
        <v>MR</v>
      </c>
      <c r="F27" s="365"/>
      <c r="G27" s="366">
        <f t="shared" ca="1" si="1"/>
        <v>51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40</v>
      </c>
      <c r="AW27" s="168">
        <f>COUNTIF( AV$7:AV27, AV27 )</f>
        <v>7</v>
      </c>
      <c r="AX27" s="208">
        <f t="shared" si="22"/>
        <v>40.700000000000003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3.9">
      <c r="A28" s="223" t="s">
        <v>291</v>
      </c>
      <c r="B28" s="224" t="s">
        <v>140</v>
      </c>
      <c r="C28" s="224">
        <v>19</v>
      </c>
      <c r="D28" s="224" t="s">
        <v>292</v>
      </c>
      <c r="E28" s="225" t="str">
        <f t="shared" ca="1" si="0"/>
        <v>MR</v>
      </c>
      <c r="F28" s="365"/>
      <c r="G28" s="366">
        <f t="shared" ca="1" si="1"/>
        <v>52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24</v>
      </c>
      <c r="AW28" s="168">
        <f>COUNTIF( AV$7:AV28, AV28 )</f>
        <v>7</v>
      </c>
      <c r="AX28" s="208">
        <f t="shared" si="22"/>
        <v>24.7</v>
      </c>
      <c r="AY28" s="168">
        <f t="shared" si="23"/>
        <v>30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3.9">
      <c r="A29" s="223" t="s">
        <v>369</v>
      </c>
      <c r="B29" s="224" t="s">
        <v>140</v>
      </c>
      <c r="C29" s="224">
        <v>19</v>
      </c>
      <c r="D29" s="224" t="s">
        <v>375</v>
      </c>
      <c r="E29" s="225" t="str">
        <f t="shared" ca="1" si="0"/>
        <v>R</v>
      </c>
      <c r="F29" s="365"/>
      <c r="G29" s="366">
        <f t="shared" ca="1" si="1"/>
        <v>54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40</v>
      </c>
      <c r="AW29" s="168">
        <f>COUNTIF( AV$7:AV29, AV29 )</f>
        <v>8</v>
      </c>
      <c r="AX29" s="208">
        <f t="shared" si="22"/>
        <v>40.799999999999997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49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3.9">
      <c r="A30" s="223" t="s">
        <v>222</v>
      </c>
      <c r="B30" s="224" t="s">
        <v>141</v>
      </c>
      <c r="C30" s="224">
        <v>18</v>
      </c>
      <c r="D30" s="224" t="s">
        <v>223</v>
      </c>
      <c r="E30" s="225" t="str">
        <f t="shared" ca="1" si="0"/>
        <v>R</v>
      </c>
      <c r="F30" s="365"/>
      <c r="G30" s="366">
        <f t="shared" ca="1" si="1"/>
        <v>10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140</v>
      </c>
      <c r="AS30" s="207">
        <v>19</v>
      </c>
      <c r="AT30" s="207" t="s">
        <v>388</v>
      </c>
      <c r="AV30" s="168">
        <f t="shared" si="21"/>
        <v>11</v>
      </c>
      <c r="AW30" s="168">
        <f>COUNTIF( AV$7:AV30, AV30 )</f>
        <v>5</v>
      </c>
      <c r="AX30" s="208">
        <f t="shared" si="22"/>
        <v>11.5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AEP</v>
      </c>
    </row>
    <row r="31" spans="1:61" ht="13.9">
      <c r="A31" s="223" t="s">
        <v>238</v>
      </c>
      <c r="B31" s="224" t="s">
        <v>141</v>
      </c>
      <c r="C31" s="224">
        <v>18</v>
      </c>
      <c r="D31" s="224" t="s">
        <v>239</v>
      </c>
      <c r="E31" s="225" t="str">
        <f t="shared" ca="1" si="0"/>
        <v>R</v>
      </c>
      <c r="F31" s="365"/>
      <c r="G31" s="366">
        <f t="shared" ca="1" si="1"/>
        <v>11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24</v>
      </c>
      <c r="AW31" s="168">
        <f>COUNTIF( AV$7:AV31, AV31 )</f>
        <v>8</v>
      </c>
      <c r="AX31" s="208">
        <f t="shared" si="22"/>
        <v>24.8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AVA</v>
      </c>
    </row>
    <row r="32" spans="1:61" ht="13.9">
      <c r="A32" s="223" t="s">
        <v>254</v>
      </c>
      <c r="B32" s="224" t="s">
        <v>141</v>
      </c>
      <c r="C32" s="224">
        <v>18</v>
      </c>
      <c r="D32" s="224" t="s">
        <v>378</v>
      </c>
      <c r="E32" s="225" t="str">
        <f t="shared" ca="1" si="0"/>
        <v>R</v>
      </c>
      <c r="F32" s="365"/>
      <c r="G32" s="366">
        <f t="shared" ca="1" si="1"/>
        <v>16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CNL</v>
      </c>
    </row>
    <row r="33" spans="1:61" ht="13.9">
      <c r="A33" s="223" t="s">
        <v>328</v>
      </c>
      <c r="B33" s="224" t="s">
        <v>141</v>
      </c>
      <c r="C33" s="224">
        <v>18</v>
      </c>
      <c r="D33" s="224" t="s">
        <v>331</v>
      </c>
      <c r="E33" s="225" t="str">
        <f t="shared" ca="1" si="0"/>
        <v>R</v>
      </c>
      <c r="F33" s="365"/>
      <c r="G33" s="366">
        <f t="shared" ca="1" si="1"/>
        <v>24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40</v>
      </c>
      <c r="AW33" s="168">
        <f>COUNTIF( AV$7:AV33, AV33 )</f>
        <v>9</v>
      </c>
      <c r="AX33" s="208">
        <f t="shared" si="22"/>
        <v>40.9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16</v>
      </c>
      <c r="BF33" s="173" t="str">
        <f t="shared" ca="1" si="8"/>
        <v>El Paso Electric Company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EE</v>
      </c>
    </row>
    <row r="34" spans="1:61" ht="13.9">
      <c r="A34" s="223" t="s">
        <v>267</v>
      </c>
      <c r="B34" s="224" t="s">
        <v>141</v>
      </c>
      <c r="C34" s="224">
        <v>18</v>
      </c>
      <c r="D34" s="224" t="s">
        <v>268</v>
      </c>
      <c r="E34" s="225" t="str">
        <f t="shared" ca="1" si="0"/>
        <v>R</v>
      </c>
      <c r="F34" s="365"/>
      <c r="G34" s="366">
        <f t="shared" ca="1" si="1"/>
        <v>26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11</v>
      </c>
      <c r="AW34" s="168">
        <f>COUNTIF( AV$7:AV34, AV34 )</f>
        <v>6</v>
      </c>
      <c r="AX34" s="208">
        <f t="shared" si="22"/>
        <v>11.6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19</v>
      </c>
      <c r="BF34" s="173" t="str">
        <f t="shared" ca="1" si="8"/>
        <v>Entergy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ETR</v>
      </c>
    </row>
    <row r="35" spans="1:61" ht="13.9">
      <c r="A35" s="223" t="s">
        <v>269</v>
      </c>
      <c r="B35" s="224" t="s">
        <v>141</v>
      </c>
      <c r="C35" s="224">
        <v>18</v>
      </c>
      <c r="D35" s="224" t="s">
        <v>270</v>
      </c>
      <c r="E35" s="225" t="str">
        <f t="shared" ca="1" si="0"/>
        <v>MR</v>
      </c>
      <c r="F35" s="365"/>
      <c r="G35" s="366">
        <f t="shared" ca="1" si="1"/>
        <v>27</v>
      </c>
      <c r="H35" s="367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11</v>
      </c>
      <c r="AW35" s="168">
        <f>COUNTIF( AV$7:AV35, AV35 )</f>
        <v>7</v>
      </c>
      <c r="AX35" s="208">
        <f t="shared" si="22"/>
        <v>11.7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20</v>
      </c>
      <c r="BF35" s="173" t="str">
        <f t="shared" ca="1" si="8"/>
        <v>Exelon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EXC</v>
      </c>
    </row>
    <row r="36" spans="1:61" ht="13.9">
      <c r="A36" s="223" t="s">
        <v>352</v>
      </c>
      <c r="B36" s="224" t="s">
        <v>141</v>
      </c>
      <c r="C36" s="224">
        <v>18</v>
      </c>
      <c r="D36" s="224" t="s">
        <v>353</v>
      </c>
      <c r="E36" s="225" t="str">
        <f t="shared" ca="1" si="0"/>
        <v>R</v>
      </c>
      <c r="F36" s="365"/>
      <c r="G36" s="366">
        <f t="shared" ca="1" si="1"/>
        <v>29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22</v>
      </c>
      <c r="BF36" s="173" t="str">
        <f t="shared" ca="1" si="8"/>
        <v>Great Plains Energy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GXP</v>
      </c>
    </row>
    <row r="37" spans="1:61" ht="13.9">
      <c r="A37" s="223" t="s">
        <v>283</v>
      </c>
      <c r="B37" s="224" t="s">
        <v>141</v>
      </c>
      <c r="C37" s="224">
        <v>18</v>
      </c>
      <c r="D37" s="224" t="s">
        <v>284</v>
      </c>
      <c r="E37" s="225" t="str">
        <f t="shared" ca="1" si="0"/>
        <v>R</v>
      </c>
      <c r="F37" s="365"/>
      <c r="G37" s="366">
        <f t="shared" ca="1" si="1"/>
        <v>31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40</v>
      </c>
      <c r="AW37" s="168">
        <f>COUNTIF( AV$7:AV37, AV37 )</f>
        <v>10</v>
      </c>
      <c r="AX37" s="208">
        <f t="shared" si="22"/>
        <v>41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3.9">
      <c r="A38" s="223" t="s">
        <v>297</v>
      </c>
      <c r="B38" s="224" t="s">
        <v>141</v>
      </c>
      <c r="C38" s="224">
        <v>18</v>
      </c>
      <c r="D38" s="224" t="s">
        <v>298</v>
      </c>
      <c r="E38" s="225" t="str">
        <f t="shared" ca="1" si="0"/>
        <v>R</v>
      </c>
      <c r="F38" s="365"/>
      <c r="G38" s="366">
        <f t="shared" ca="1" si="1"/>
        <v>38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3.9">
      <c r="A39" s="223" t="s">
        <v>301</v>
      </c>
      <c r="B39" s="224" t="s">
        <v>141</v>
      </c>
      <c r="C39" s="224">
        <v>18</v>
      </c>
      <c r="D39" s="224" t="s">
        <v>302</v>
      </c>
      <c r="E39" s="225" t="str">
        <f t="shared" ca="1" si="0"/>
        <v>R</v>
      </c>
      <c r="F39" s="365"/>
      <c r="G39" s="366">
        <f t="shared" ca="1" si="1"/>
        <v>44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24</v>
      </c>
      <c r="AW39" s="168">
        <f>COUNTIF( AV$7:AV39, AV39 )</f>
        <v>9</v>
      </c>
      <c r="AX39" s="208">
        <f t="shared" si="22"/>
        <v>24.9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25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3.9">
      <c r="A40" s="223" t="s">
        <v>281</v>
      </c>
      <c r="B40" s="224" t="s">
        <v>141</v>
      </c>
      <c r="C40" s="224">
        <v>18</v>
      </c>
      <c r="D40" s="224" t="s">
        <v>282</v>
      </c>
      <c r="E40" s="225" t="str">
        <f t="shared" ca="1" si="0"/>
        <v>R</v>
      </c>
      <c r="F40" s="365"/>
      <c r="G40" s="366">
        <f t="shared" ca="1" si="1"/>
        <v>45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173</v>
      </c>
      <c r="AS40" s="207">
        <v>16</v>
      </c>
      <c r="AT40" s="207" t="s">
        <v>412</v>
      </c>
      <c r="AV40" s="168">
        <f t="shared" si="21"/>
        <v>52</v>
      </c>
      <c r="AW40" s="168">
        <f>COUNTIF( AV$7:AV40, AV40 )</f>
        <v>1</v>
      </c>
      <c r="AX40" s="208">
        <f t="shared" si="22"/>
        <v>52.1</v>
      </c>
      <c r="AY40" s="168">
        <f t="shared" si="23"/>
        <v>52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Pinnacle West Capital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PNW</v>
      </c>
    </row>
    <row r="41" spans="1:61" ht="13.9">
      <c r="A41" s="223" t="s">
        <v>285</v>
      </c>
      <c r="B41" s="224" t="s">
        <v>141</v>
      </c>
      <c r="C41" s="224">
        <v>18</v>
      </c>
      <c r="D41" s="224" t="s">
        <v>286</v>
      </c>
      <c r="E41" s="225" t="str">
        <f t="shared" ca="1" si="0"/>
        <v>R</v>
      </c>
      <c r="F41" s="365"/>
      <c r="G41" s="366">
        <f t="shared" ca="1" si="1"/>
        <v>47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140</v>
      </c>
      <c r="AS41" s="207">
        <v>19</v>
      </c>
      <c r="AT41" s="207" t="s">
        <v>278</v>
      </c>
      <c r="AV41" s="168">
        <f t="shared" si="21"/>
        <v>11</v>
      </c>
      <c r="AW41" s="168">
        <f>COUNTIF( AV$7:AV41, AV41 )</f>
        <v>8</v>
      </c>
      <c r="AX41" s="208">
        <f t="shared" si="22"/>
        <v>11.8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41</v>
      </c>
      <c r="BF41" s="173" t="str">
        <f t="shared" ca="1" si="25"/>
        <v>Portland General Electric Company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POR</v>
      </c>
    </row>
    <row r="42" spans="1:61" ht="13.9">
      <c r="A42" s="223" t="s">
        <v>243</v>
      </c>
      <c r="B42" s="224" t="s">
        <v>141</v>
      </c>
      <c r="C42" s="224">
        <v>18</v>
      </c>
      <c r="D42" s="224" t="s">
        <v>244</v>
      </c>
      <c r="E42" s="225" t="str">
        <f t="shared" ca="1" si="0"/>
        <v>MR</v>
      </c>
      <c r="F42" s="365"/>
      <c r="G42" s="366">
        <f t="shared" ca="1" si="1"/>
        <v>48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142</v>
      </c>
      <c r="AS42" s="207">
        <v>17</v>
      </c>
      <c r="AT42" s="207" t="s">
        <v>300</v>
      </c>
      <c r="AV42" s="168">
        <f t="shared" si="21"/>
        <v>40</v>
      </c>
      <c r="AW42" s="168">
        <f>COUNTIF( AV$7:AV42, AV42 )</f>
        <v>11</v>
      </c>
      <c r="AX42" s="208">
        <f t="shared" si="22"/>
        <v>41.1</v>
      </c>
      <c r="AY42" s="168">
        <f t="shared" si="23"/>
        <v>50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PPL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PPL</v>
      </c>
    </row>
    <row r="43" spans="1:61" ht="13.9">
      <c r="A43" s="223" t="s">
        <v>289</v>
      </c>
      <c r="B43" s="224" t="s">
        <v>141</v>
      </c>
      <c r="C43" s="224">
        <v>18</v>
      </c>
      <c r="D43" s="224" t="s">
        <v>290</v>
      </c>
      <c r="E43" s="225" t="str">
        <f t="shared" ca="1" si="0"/>
        <v>MR</v>
      </c>
      <c r="F43" s="365"/>
      <c r="G43" s="366">
        <f t="shared" ca="1" si="1"/>
        <v>50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11</v>
      </c>
      <c r="AW43" s="168">
        <f>COUNTIF( AV$7:AV43, AV43 )</f>
        <v>9</v>
      </c>
      <c r="AX43" s="208">
        <f t="shared" si="22"/>
        <v>11.9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44</v>
      </c>
      <c r="BF43" s="173" t="str">
        <f t="shared" ca="1" si="25"/>
        <v>Public Service Enterprise Group Incorporated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PEG</v>
      </c>
    </row>
    <row r="44" spans="1:61" ht="13.9">
      <c r="A44" s="223" t="s">
        <v>389</v>
      </c>
      <c r="B44" s="224" t="s">
        <v>141</v>
      </c>
      <c r="C44" s="224">
        <v>18</v>
      </c>
      <c r="D44" s="224" t="s">
        <v>390</v>
      </c>
      <c r="E44" s="225" t="str">
        <f t="shared" ca="1" si="0"/>
        <v>R</v>
      </c>
      <c r="F44" s="365"/>
      <c r="G44" s="366">
        <f t="shared" ca="1" si="1"/>
        <v>55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24</v>
      </c>
      <c r="AW44" s="168">
        <f>COUNTIF( AV$7:AV44, AV44 )</f>
        <v>10</v>
      </c>
      <c r="AX44" s="208">
        <f t="shared" si="22"/>
        <v>25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50</v>
      </c>
      <c r="BF44" s="173" t="str">
        <f t="shared" ca="1" si="25"/>
        <v>UIL Holdings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UIL</v>
      </c>
    </row>
    <row r="45" spans="1:61" ht="13.9">
      <c r="A45" s="223" t="s">
        <v>354</v>
      </c>
      <c r="B45" s="224" t="s">
        <v>141</v>
      </c>
      <c r="C45" s="224">
        <v>18</v>
      </c>
      <c r="D45" s="224" t="s">
        <v>355</v>
      </c>
      <c r="E45" s="225" t="str">
        <f t="shared" ca="1" si="0"/>
        <v>R</v>
      </c>
      <c r="F45" s="365"/>
      <c r="G45" s="366">
        <f t="shared" ca="1" si="1"/>
        <v>59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281</v>
      </c>
      <c r="AR45" s="207" t="s">
        <v>141</v>
      </c>
      <c r="AS45" s="207">
        <v>18</v>
      </c>
      <c r="AT45" s="207" t="s">
        <v>282</v>
      </c>
      <c r="AV45" s="168">
        <f t="shared" si="21"/>
        <v>24</v>
      </c>
      <c r="AW45" s="168">
        <f>COUNTIF( AV$7:AV45, AV45 )</f>
        <v>11</v>
      </c>
      <c r="AX45" s="208">
        <f t="shared" si="22"/>
        <v>25.1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52</v>
      </c>
      <c r="BF45" s="173" t="str">
        <f t="shared" ca="1" si="25"/>
        <v>Westar Energy,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WR</v>
      </c>
    </row>
    <row r="46" spans="1:61" ht="13.9">
      <c r="A46" s="223" t="s">
        <v>225</v>
      </c>
      <c r="B46" s="224" t="s">
        <v>142</v>
      </c>
      <c r="C46" s="224">
        <v>17</v>
      </c>
      <c r="D46" s="224" t="s">
        <v>226</v>
      </c>
      <c r="E46" s="225" t="str">
        <f t="shared" ca="1" si="0"/>
        <v>R</v>
      </c>
      <c r="F46" s="365"/>
      <c r="G46" s="366">
        <f t="shared" ca="1" si="1"/>
        <v>9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303</v>
      </c>
      <c r="AR46" s="207" t="s">
        <v>142</v>
      </c>
      <c r="AS46" s="207">
        <v>17</v>
      </c>
      <c r="AT46" s="207" t="s">
        <v>304</v>
      </c>
      <c r="AV46" s="168">
        <f t="shared" si="21"/>
        <v>40</v>
      </c>
      <c r="AW46" s="168">
        <f>COUNTIF( AV$7:AV46, AV46 )</f>
        <v>12</v>
      </c>
      <c r="AX46" s="208">
        <f t="shared" si="22"/>
        <v>41.2</v>
      </c>
      <c r="AY46" s="168">
        <f t="shared" si="23"/>
        <v>51</v>
      </c>
      <c r="AZ46" s="169"/>
      <c r="BA46" s="169"/>
      <c r="BC46" s="168">
        <f t="shared" ca="1" si="24"/>
        <v>40</v>
      </c>
      <c r="BD46" s="209">
        <f t="shared" ca="1" si="7"/>
        <v>3</v>
      </c>
      <c r="BF46" s="173" t="str">
        <f t="shared" ca="1" si="25"/>
        <v>Ameren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AEE</v>
      </c>
    </row>
    <row r="47" spans="1:61" ht="13.9">
      <c r="A47" s="223" t="s">
        <v>245</v>
      </c>
      <c r="B47" s="224" t="s">
        <v>142</v>
      </c>
      <c r="C47" s="224">
        <v>17</v>
      </c>
      <c r="D47" s="224" t="s">
        <v>246</v>
      </c>
      <c r="E47" s="225" t="str">
        <f t="shared" ca="1" si="0"/>
        <v>MR</v>
      </c>
      <c r="F47" s="365"/>
      <c r="G47" s="366">
        <f t="shared" ca="1" si="1"/>
        <v>12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24</v>
      </c>
      <c r="AW47" s="168">
        <f>COUNTIF( AV$7:AV47, AV47 )</f>
        <v>12</v>
      </c>
      <c r="AX47" s="208">
        <f t="shared" si="22"/>
        <v>25.2</v>
      </c>
      <c r="AY47" s="168">
        <f t="shared" si="23"/>
        <v>35</v>
      </c>
      <c r="AZ47" s="169"/>
      <c r="BA47" s="169"/>
      <c r="BC47" s="168">
        <f t="shared" ca="1" si="24"/>
        <v>41</v>
      </c>
      <c r="BD47" s="209">
        <f t="shared" ca="1" si="7"/>
        <v>6</v>
      </c>
      <c r="BF47" s="173" t="str">
        <f t="shared" ca="1" si="25"/>
        <v>Black Hills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BKH</v>
      </c>
    </row>
    <row r="48" spans="1:61" ht="13.9">
      <c r="A48" s="223" t="s">
        <v>256</v>
      </c>
      <c r="B48" s="224" t="s">
        <v>142</v>
      </c>
      <c r="C48" s="224">
        <v>17</v>
      </c>
      <c r="D48" s="224" t="s">
        <v>257</v>
      </c>
      <c r="E48" s="225" t="str">
        <f t="shared" ca="1" si="0"/>
        <v>R</v>
      </c>
      <c r="F48" s="365"/>
      <c r="G48" s="366">
        <f t="shared" ca="1" si="1"/>
        <v>17</v>
      </c>
      <c r="H48" s="367"/>
      <c r="I48" s="367"/>
      <c r="K48" s="191"/>
      <c r="M48" s="368"/>
      <c r="N48" s="368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24</v>
      </c>
      <c r="AW48" s="168">
        <f>COUNTIF( AV$7:AV48, AV48 )</f>
        <v>13</v>
      </c>
      <c r="AX48" s="208">
        <f t="shared" si="22"/>
        <v>25.3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9</v>
      </c>
      <c r="BF48" s="173" t="str">
        <f t="shared" ca="1" si="25"/>
        <v>CMS Energy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CMS</v>
      </c>
    </row>
    <row r="49" spans="1:61" ht="13.9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0"/>
        <v>R</v>
      </c>
      <c r="F49" s="365"/>
      <c r="G49" s="366">
        <f t="shared" ca="1" si="1"/>
        <v>64</v>
      </c>
      <c r="H49" s="367"/>
      <c r="I49" s="367"/>
      <c r="J49" s="191"/>
      <c r="K49" s="191"/>
      <c r="M49" s="368"/>
      <c r="N49" s="368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427</v>
      </c>
      <c r="AR49" s="207" t="s">
        <v>140</v>
      </c>
      <c r="AS49" s="207">
        <v>19</v>
      </c>
      <c r="AT49" s="207" t="s">
        <v>428</v>
      </c>
      <c r="AV49" s="168">
        <f t="shared" si="21"/>
        <v>11</v>
      </c>
      <c r="AW49" s="168">
        <f>COUNTIF( AV$7:AV49, AV49 )</f>
        <v>10</v>
      </c>
      <c r="AX49" s="208">
        <f t="shared" si="22"/>
        <v>12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12</v>
      </c>
      <c r="BF49" s="173" t="str">
        <f t="shared" ca="1" si="25"/>
        <v>DPL Inc.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**DPL</v>
      </c>
    </row>
    <row r="50" spans="1:61" ht="13.9">
      <c r="A50" s="223" t="s">
        <v>265</v>
      </c>
      <c r="B50" s="224" t="s">
        <v>142</v>
      </c>
      <c r="C50" s="224">
        <v>17</v>
      </c>
      <c r="D50" s="224" t="s">
        <v>266</v>
      </c>
      <c r="E50" s="225" t="str">
        <f t="shared" ca="1" si="0"/>
        <v>R</v>
      </c>
      <c r="F50" s="365"/>
      <c r="G50" s="366">
        <f t="shared" ca="1" si="1"/>
        <v>23</v>
      </c>
      <c r="H50" s="367"/>
      <c r="I50" s="367"/>
      <c r="J50" s="191"/>
      <c r="K50" s="191"/>
      <c r="M50" s="368"/>
      <c r="N50" s="368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289</v>
      </c>
      <c r="AR50" s="207" t="s">
        <v>141</v>
      </c>
      <c r="AS50" s="207">
        <v>18</v>
      </c>
      <c r="AT50" s="207" t="s">
        <v>290</v>
      </c>
      <c r="AV50" s="168">
        <f t="shared" si="21"/>
        <v>24</v>
      </c>
      <c r="AW50" s="168">
        <f>COUNTIF( AV$7:AV50, AV50 )</f>
        <v>14</v>
      </c>
      <c r="AX50" s="208">
        <f t="shared" si="22"/>
        <v>25.4</v>
      </c>
      <c r="AY50" s="168">
        <f t="shared" si="23"/>
        <v>37</v>
      </c>
      <c r="AZ50" s="169"/>
      <c r="BA50" s="169"/>
      <c r="BC50" s="168">
        <f t="shared" ca="1" si="24"/>
        <v>44</v>
      </c>
      <c r="BD50" s="209">
        <f t="shared" ca="1" si="7"/>
        <v>15</v>
      </c>
      <c r="BF50" s="173" t="str">
        <f t="shared" ca="1" si="25"/>
        <v>Edison International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EIX</v>
      </c>
    </row>
    <row r="51" spans="1:61" ht="13.9">
      <c r="A51" s="223" t="s">
        <v>367</v>
      </c>
      <c r="B51" s="224" t="s">
        <v>142</v>
      </c>
      <c r="C51" s="224">
        <v>17</v>
      </c>
      <c r="D51" s="224" t="s">
        <v>368</v>
      </c>
      <c r="E51" s="225" t="str">
        <f t="shared" ca="1" si="0"/>
        <v>R</v>
      </c>
      <c r="F51" s="365"/>
      <c r="G51" s="366">
        <f t="shared" ca="1" si="1"/>
        <v>25</v>
      </c>
      <c r="H51" s="367"/>
      <c r="I51" s="367"/>
      <c r="J51" s="191"/>
      <c r="K51" s="191"/>
      <c r="M51" s="368"/>
      <c r="N51" s="368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305</v>
      </c>
      <c r="AR51" s="207" t="s">
        <v>173</v>
      </c>
      <c r="AS51" s="207">
        <v>16</v>
      </c>
      <c r="AT51" s="207" t="s">
        <v>306</v>
      </c>
      <c r="AV51" s="168">
        <f t="shared" si="21"/>
        <v>52</v>
      </c>
      <c r="AW51" s="168">
        <f>COUNTIF( AV$7:AV51, AV51 )</f>
        <v>2</v>
      </c>
      <c r="AX51" s="208">
        <f t="shared" si="22"/>
        <v>52.2</v>
      </c>
      <c r="AY51" s="168">
        <f t="shared" si="23"/>
        <v>53</v>
      </c>
      <c r="AZ51" s="169"/>
      <c r="BA51" s="169"/>
      <c r="BC51" s="168">
        <f t="shared" ca="1" si="24"/>
        <v>45</v>
      </c>
      <c r="BD51" s="209">
        <f t="shared" ca="1" si="7"/>
        <v>17</v>
      </c>
      <c r="BF51" s="173" t="str">
        <f t="shared" ca="1" si="25"/>
        <v>Empire District Electric Company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EDE</v>
      </c>
    </row>
    <row r="52" spans="1:61" ht="13.9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0"/>
        <v>MR</v>
      </c>
      <c r="F52" s="365"/>
      <c r="G52" s="366">
        <f t="shared" ca="1" si="1"/>
        <v>28</v>
      </c>
      <c r="H52" s="367"/>
      <c r="I52" s="367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347</v>
      </c>
      <c r="AR52" s="207" t="s">
        <v>140</v>
      </c>
      <c r="AS52" s="207">
        <v>19</v>
      </c>
      <c r="AT52" s="207" t="s">
        <v>348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3.9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0"/>
        <v>D</v>
      </c>
      <c r="F53" s="365"/>
      <c r="G53" s="366">
        <f t="shared" ca="1" si="1"/>
        <v>30</v>
      </c>
      <c r="H53" s="367"/>
      <c r="I53" s="367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291</v>
      </c>
      <c r="AR53" s="207" t="s">
        <v>140</v>
      </c>
      <c r="AS53" s="207">
        <v>19</v>
      </c>
      <c r="AT53" s="207" t="s">
        <v>292</v>
      </c>
      <c r="AV53" s="168">
        <f t="shared" si="21"/>
        <v>11</v>
      </c>
      <c r="AW53" s="168">
        <f>COUNTIF( AV$7:AV53, AV53 )</f>
        <v>12</v>
      </c>
      <c r="AX53" s="208">
        <f t="shared" si="22"/>
        <v>12.2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3.9">
      <c r="A54" s="223" t="s">
        <v>287</v>
      </c>
      <c r="B54" s="224" t="s">
        <v>142</v>
      </c>
      <c r="C54" s="224">
        <v>17</v>
      </c>
      <c r="D54" s="224" t="s">
        <v>288</v>
      </c>
      <c r="E54" s="225" t="str">
        <f t="shared" ca="1" si="0"/>
        <v>R</v>
      </c>
      <c r="F54" s="365"/>
      <c r="G54" s="366">
        <f t="shared" ca="1" si="1"/>
        <v>66</v>
      </c>
      <c r="H54" s="367"/>
      <c r="I54" s="367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293</v>
      </c>
      <c r="AR54" s="207" t="s">
        <v>166</v>
      </c>
      <c r="AS54" s="207">
        <v>21</v>
      </c>
      <c r="AT54" s="207" t="s">
        <v>294</v>
      </c>
      <c r="AV54" s="168">
        <f t="shared" si="21"/>
        <v>1</v>
      </c>
      <c r="AW54" s="168">
        <f>COUNTIF( AV$7:AV54, AV54 )</f>
        <v>1</v>
      </c>
      <c r="AX54" s="208">
        <f t="shared" si="22"/>
        <v>1.1000000000000001</v>
      </c>
      <c r="AY54" s="168">
        <f t="shared" si="23"/>
        <v>1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3.9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0"/>
        <v>MR</v>
      </c>
      <c r="F55" s="365"/>
      <c r="G55" s="366">
        <f t="shared" ca="1" si="1"/>
        <v>36</v>
      </c>
      <c r="H55" s="367"/>
      <c r="I55" s="367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369</v>
      </c>
      <c r="AR55" s="207" t="s">
        <v>140</v>
      </c>
      <c r="AS55" s="207">
        <v>19</v>
      </c>
      <c r="AT55" s="207" t="s">
        <v>375</v>
      </c>
      <c r="AV55" s="168">
        <f t="shared" si="21"/>
        <v>11</v>
      </c>
      <c r="AW55" s="168">
        <f>COUNTIF( AV$7:AV55, AV55 )</f>
        <v>13</v>
      </c>
      <c r="AX55" s="208">
        <f t="shared" si="22"/>
        <v>12.3</v>
      </c>
      <c r="AY55" s="168">
        <f t="shared" si="23"/>
        <v>23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3.9">
      <c r="A56" s="223" t="s">
        <v>299</v>
      </c>
      <c r="B56" s="224" t="s">
        <v>142</v>
      </c>
      <c r="C56" s="224">
        <v>17</v>
      </c>
      <c r="D56" s="224" t="s">
        <v>300</v>
      </c>
      <c r="E56" s="225" t="str">
        <f t="shared" ca="1" si="0"/>
        <v>MR</v>
      </c>
      <c r="F56" s="365"/>
      <c r="G56" s="366">
        <f t="shared" ca="1" si="1"/>
        <v>42</v>
      </c>
      <c r="H56" s="367"/>
      <c r="I56" s="367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389</v>
      </c>
      <c r="AR56" s="207" t="s">
        <v>141</v>
      </c>
      <c r="AS56" s="207">
        <v>18</v>
      </c>
      <c r="AT56" s="207" t="s">
        <v>390</v>
      </c>
      <c r="AV56" s="168">
        <f t="shared" si="21"/>
        <v>24</v>
      </c>
      <c r="AW56" s="168">
        <f>COUNTIF( AV$7:AV56, AV56 )</f>
        <v>15</v>
      </c>
      <c r="AX56" s="208">
        <f t="shared" si="22"/>
        <v>25.5</v>
      </c>
      <c r="AY56" s="168">
        <f t="shared" si="23"/>
        <v>38</v>
      </c>
      <c r="AZ56" s="169"/>
      <c r="BA56" s="169"/>
      <c r="BC56" s="168">
        <f t="shared" ca="1" si="24"/>
        <v>50</v>
      </c>
      <c r="BD56" s="209">
        <f t="shared" ca="1" si="7"/>
        <v>36</v>
      </c>
      <c r="BF56" s="173" t="str">
        <f t="shared" ca="1" si="25"/>
        <v>Otter Tail Corporation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OTTR</v>
      </c>
    </row>
    <row r="57" spans="1:61" ht="13.9">
      <c r="A57" s="223" t="s">
        <v>303</v>
      </c>
      <c r="B57" s="224" t="s">
        <v>142</v>
      </c>
      <c r="C57" s="224">
        <v>17</v>
      </c>
      <c r="D57" s="224" t="s">
        <v>304</v>
      </c>
      <c r="E57" s="225" t="str">
        <f t="shared" ca="1" si="0"/>
        <v>R</v>
      </c>
      <c r="F57" s="365"/>
      <c r="G57" s="366">
        <f t="shared" ca="1" si="1"/>
        <v>46</v>
      </c>
      <c r="H57" s="367"/>
      <c r="I57" s="367"/>
      <c r="J57" s="191"/>
      <c r="K57" s="191"/>
      <c r="AF57" s="169">
        <f t="shared" si="2"/>
        <v>1</v>
      </c>
      <c r="AG57" s="169">
        <f t="shared" ca="1" si="3"/>
        <v>1</v>
      </c>
      <c r="AH57" s="169" t="str">
        <f t="shared" ca="1" si="19"/>
        <v/>
      </c>
      <c r="AJ57" s="169">
        <f t="shared" ca="1" si="4"/>
        <v>60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5"/>
        <v>Change</v>
      </c>
      <c r="AQ57" s="207" t="s">
        <v>345</v>
      </c>
      <c r="AR57" s="207" t="s">
        <v>139</v>
      </c>
      <c r="AS57" s="207">
        <v>20</v>
      </c>
      <c r="AT57" s="207" t="s">
        <v>346</v>
      </c>
      <c r="AV57" s="168">
        <f t="shared" si="21"/>
        <v>2</v>
      </c>
      <c r="AW57" s="168">
        <f>COUNTIF( AV$7:AV57, AV57 )</f>
        <v>7</v>
      </c>
      <c r="AX57" s="208">
        <f t="shared" si="22"/>
        <v>2.7</v>
      </c>
      <c r="AY57" s="168">
        <f t="shared" si="23"/>
        <v>8</v>
      </c>
      <c r="AZ57" s="169"/>
      <c r="BA57" s="169"/>
      <c r="BC57" s="168">
        <f t="shared" ca="1" si="24"/>
        <v>51</v>
      </c>
      <c r="BD57" s="209">
        <f t="shared" ca="1" si="7"/>
        <v>40</v>
      </c>
      <c r="BF57" s="173" t="str">
        <f t="shared" ca="1" si="25"/>
        <v>PNM Resources, Inc.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PNM</v>
      </c>
    </row>
    <row r="58" spans="1:61" ht="13.9">
      <c r="A58" s="223" t="s">
        <v>411</v>
      </c>
      <c r="B58" s="224" t="s">
        <v>173</v>
      </c>
      <c r="C58" s="224">
        <v>16</v>
      </c>
      <c r="D58" s="224" t="s">
        <v>412</v>
      </c>
      <c r="E58" s="225" t="str">
        <f t="shared" ca="1" si="0"/>
        <v>R</v>
      </c>
      <c r="F58" s="365"/>
      <c r="G58" s="366">
        <f t="shared" ca="1" si="1"/>
        <v>40</v>
      </c>
      <c r="H58" s="367"/>
      <c r="I58" s="367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354</v>
      </c>
      <c r="AR58" s="207" t="s">
        <v>141</v>
      </c>
      <c r="AS58" s="207">
        <v>18</v>
      </c>
      <c r="AT58" s="207" t="s">
        <v>355</v>
      </c>
      <c r="AV58" s="168">
        <f t="shared" si="21"/>
        <v>24</v>
      </c>
      <c r="AW58" s="168">
        <f>COUNTIF( AV$7:AV58, AV58 )</f>
        <v>16</v>
      </c>
      <c r="AX58" s="208">
        <f t="shared" si="22"/>
        <v>25.6</v>
      </c>
      <c r="AY58" s="168">
        <f t="shared" si="23"/>
        <v>39</v>
      </c>
      <c r="AZ58" s="169"/>
      <c r="BA58" s="169"/>
      <c r="BC58" s="168">
        <f t="shared" ca="1" si="24"/>
        <v>52</v>
      </c>
      <c r="BD58" s="209">
        <f t="shared" ca="1" si="7"/>
        <v>34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3.9">
      <c r="A59" s="223" t="s">
        <v>305</v>
      </c>
      <c r="B59" s="224" t="s">
        <v>173</v>
      </c>
      <c r="C59" s="224">
        <v>16</v>
      </c>
      <c r="D59" s="224" t="s">
        <v>306</v>
      </c>
      <c r="E59" s="225" t="str">
        <f t="shared" ca="1" si="0"/>
        <v>R</v>
      </c>
      <c r="F59" s="365"/>
      <c r="G59" s="366">
        <f t="shared" ca="1" si="1"/>
        <v>68</v>
      </c>
      <c r="H59" s="367"/>
      <c r="I59" s="367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247</v>
      </c>
      <c r="AR59" s="207" t="s">
        <v>139</v>
      </c>
      <c r="AS59" s="207">
        <v>20</v>
      </c>
      <c r="AT59" s="207" t="s">
        <v>248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45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3.9">
      <c r="A60" s="180" t="s">
        <v>371</v>
      </c>
      <c r="B60" s="181" t="s">
        <v>187</v>
      </c>
      <c r="C60" s="181">
        <v>9</v>
      </c>
      <c r="D60" s="181" t="s">
        <v>359</v>
      </c>
      <c r="E60" s="182"/>
      <c r="F60" s="367"/>
      <c r="G60" s="370">
        <f t="shared" ca="1" si="1"/>
        <v>65</v>
      </c>
      <c r="H60" s="367"/>
      <c r="I60" s="367"/>
      <c r="AF60" s="169">
        <f t="shared" si="2"/>
        <v>1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CCC</v>
      </c>
      <c r="AL60" s="169">
        <f t="shared" ca="1" si="20"/>
        <v>9</v>
      </c>
      <c r="AM60" s="169" t="str">
        <f t="shared" ca="1" si="5"/>
        <v/>
      </c>
      <c r="AQ60" s="207" t="s">
        <v>251</v>
      </c>
      <c r="AR60" s="207" t="s">
        <v>139</v>
      </c>
      <c r="AS60" s="207">
        <v>20</v>
      </c>
      <c r="AT60" s="207" t="s">
        <v>252</v>
      </c>
      <c r="AV60" s="168">
        <f t="shared" si="21"/>
        <v>2</v>
      </c>
      <c r="AW60" s="168">
        <f>COUNTIF( AV$7:AV60, AV60 )</f>
        <v>9</v>
      </c>
      <c r="AX60" s="208">
        <f t="shared" si="22"/>
        <v>2.9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18</v>
      </c>
      <c r="BF60" s="173" t="str">
        <f t="shared" ca="1" si="25"/>
        <v>Energy Future Holdings Corp.</v>
      </c>
      <c r="BG60" s="173" t="str">
        <f t="shared" ca="1" si="9"/>
        <v>CCC</v>
      </c>
      <c r="BH60" s="173">
        <f t="shared" ca="1" si="9"/>
        <v>9</v>
      </c>
      <c r="BI60" s="173" t="str">
        <f t="shared" ca="1" si="9"/>
        <v>**EFH</v>
      </c>
    </row>
    <row r="61" spans="1:61" ht="14.45" thickBot="1">
      <c r="A61" s="192"/>
      <c r="B61" s="193"/>
      <c r="C61" s="193"/>
      <c r="D61" s="193"/>
      <c r="E61" s="194"/>
      <c r="F61" s="367"/>
      <c r="G61" s="370" t="str">
        <f t="shared" ca="1" si="1"/>
        <v/>
      </c>
      <c r="H61" s="367"/>
      <c r="I61" s="367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</v>
      </c>
      <c r="AX61" s="208">
        <f t="shared" si="22"/>
        <v>99.1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9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71"/>
      <c r="G62" s="372">
        <f t="shared" ca="1" si="1"/>
        <v>34</v>
      </c>
      <c r="H62" s="367"/>
      <c r="I62" s="367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63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2</v>
      </c>
      <c r="AX62" s="208">
        <f t="shared" si="22"/>
        <v>99.2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9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65"/>
      <c r="G63" s="366">
        <f t="shared" ca="1" si="1"/>
        <v>15</v>
      </c>
      <c r="H63" s="367"/>
      <c r="I63" s="367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3</v>
      </c>
      <c r="AX63" s="208">
        <f t="shared" si="22"/>
        <v>99.3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9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65"/>
      <c r="G64" s="366">
        <f t="shared" ca="1" si="1"/>
        <v>57</v>
      </c>
      <c r="H64" s="367"/>
      <c r="I64" s="367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65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384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9">
      <c r="A65" s="223" t="s">
        <v>401</v>
      </c>
      <c r="B65" s="229"/>
      <c r="C65" s="224"/>
      <c r="D65" s="224" t="s">
        <v>376</v>
      </c>
      <c r="E65" s="225" t="str">
        <f ca="1">OFFSET( INDIRECT( E$3 &amp; E$4 ), $G65 - 1, 0 )</f>
        <v>R</v>
      </c>
      <c r="F65" s="365"/>
      <c r="G65" s="366">
        <f t="shared" ca="1" si="1"/>
        <v>56</v>
      </c>
      <c r="H65" s="367"/>
      <c r="I65" s="367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66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416</v>
      </c>
      <c r="AR65" s="207" t="s">
        <v>166</v>
      </c>
      <c r="AS65" s="207">
        <v>21</v>
      </c>
      <c r="AT65" s="207" t="s">
        <v>417</v>
      </c>
      <c r="AU65" s="207"/>
      <c r="AZ65" s="169"/>
      <c r="BA65" s="169"/>
      <c r="BF65" s="169"/>
    </row>
    <row r="66" spans="1:58" ht="13.9">
      <c r="A66" s="195"/>
      <c r="B66" s="196"/>
      <c r="C66" s="185"/>
      <c r="D66" s="185"/>
      <c r="E66" s="182"/>
      <c r="F66" s="367"/>
      <c r="H66" s="367"/>
      <c r="I66" s="367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399</v>
      </c>
      <c r="AR66" s="207" t="s">
        <v>173</v>
      </c>
      <c r="AS66" s="207">
        <v>16</v>
      </c>
      <c r="AT66" s="207" t="s">
        <v>400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295</v>
      </c>
      <c r="AR67" s="207" t="s">
        <v>423</v>
      </c>
      <c r="AS67" s="207"/>
      <c r="AT67" s="207" t="s">
        <v>376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18.263157894736842</v>
      </c>
      <c r="D68" s="201"/>
      <c r="E68" s="201"/>
      <c r="F68" s="367"/>
      <c r="H68" s="367"/>
      <c r="I68" s="367"/>
      <c r="J68" s="368"/>
      <c r="K68" s="368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419</v>
      </c>
      <c r="B73" s="173"/>
      <c r="D73" s="173"/>
      <c r="E73" s="173"/>
      <c r="F73" s="204"/>
      <c r="H73" s="204"/>
      <c r="I73" s="204"/>
    </row>
    <row r="74" spans="1:58">
      <c r="A74" s="205" t="s">
        <v>314</v>
      </c>
      <c r="B74" s="173"/>
      <c r="D74" s="173"/>
      <c r="E74" s="173"/>
      <c r="F74" s="204"/>
      <c r="H74" s="204"/>
      <c r="I74" s="204"/>
    </row>
    <row r="75" spans="1:58">
      <c r="A75" s="205" t="s">
        <v>403</v>
      </c>
      <c r="D75" s="204"/>
      <c r="F75" s="206"/>
      <c r="H75" s="206"/>
      <c r="I75" s="206"/>
    </row>
    <row r="76" spans="1:58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D77" s="204"/>
      <c r="F77" s="206"/>
      <c r="H77" s="206"/>
      <c r="I77" s="206"/>
      <c r="AQ77" s="207"/>
      <c r="AR77" s="207"/>
      <c r="AS77" s="207"/>
    </row>
    <row r="78" spans="1:58">
      <c r="A78" s="203"/>
      <c r="AQ78" s="207"/>
      <c r="AR78" s="207"/>
      <c r="AS78" s="207"/>
    </row>
    <row r="79" spans="1:58">
      <c r="C79" s="190">
        <f>SUMPRODUCT( L8:L13, Y8:Y13 ) / L14</f>
        <v>18.350877192982455</v>
      </c>
      <c r="E79" s="191"/>
      <c r="G79" s="370"/>
      <c r="J79" s="173"/>
      <c r="K79" s="173"/>
      <c r="AQ79" s="207"/>
      <c r="AR79" s="207"/>
      <c r="AS79" s="207"/>
    </row>
    <row r="80" spans="1:58" s="173" customFormat="1" ht="13.9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>
      <c r="AQ81" s="207"/>
      <c r="AR81" s="207"/>
      <c r="AS81" s="207"/>
    </row>
    <row r="82" spans="43:45">
      <c r="AQ82" s="207"/>
      <c r="AR82" s="207"/>
      <c r="AS82" s="207"/>
    </row>
  </sheetData>
  <sortState xmlns:xlrd2="http://schemas.microsoft.com/office/spreadsheetml/2017/richdata2"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">
      <c r="A1" s="238" t="str">
        <f>"I.  S&amp;P Utility Credit Ratings Distribution -- " &amp; B6</f>
        <v>I.  S&amp;P Utility Credit Ratings Distribution -- 2012 Q1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>
      <c r="A2" s="167"/>
      <c r="E2" s="171" t="str">
        <f>G2</f>
        <v>Reg_Percent_2010</v>
      </c>
      <c r="G2" s="172" t="s">
        <v>429</v>
      </c>
      <c r="AJ2" s="173" t="str">
        <f>AJ4 &amp; AJ3</f>
        <v>'Credit_2011Q4'!a:a</v>
      </c>
      <c r="AK2" s="173" t="str">
        <f>AK4 &amp; AK3</f>
        <v>'Credit_2011Q4'!b1</v>
      </c>
      <c r="AL2" s="173" t="str">
        <f>AL4 &amp; AL3</f>
        <v>'Credit_2011Q4'!c1</v>
      </c>
    </row>
    <row r="3" spans="1:61" ht="18" hidden="1" outlineLevel="1">
      <c r="A3" s="167"/>
      <c r="E3" s="174" t="str">
        <f>"'" &amp; E2 &amp; "'!"</f>
        <v>'Reg_Percent_2010'!</v>
      </c>
      <c r="G3" s="168" t="str">
        <f>"'" &amp; G2 &amp; "'!"</f>
        <v>'Reg_Percent_2010'!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430</v>
      </c>
      <c r="AK4" s="169" t="str">
        <f>AJ4</f>
        <v>'Credit_2011Q4'!</v>
      </c>
      <c r="AL4" s="169" t="str">
        <f>AK4</f>
        <v>'Credit_2011Q4'!</v>
      </c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>"All Companies" &amp; CHAR( 10 ) &amp; "("&amp; L14 &amp; ")"</f>
        <v>All Companies
(58)</v>
      </c>
      <c r="M5" s="359"/>
      <c r="N5" s="230"/>
      <c r="O5" s="357" t="str">
        <f ca="1">"Regulated" &amp; CHAR( 10 ) &amp; "(" &amp; O14 &amp; ")"</f>
        <v>Regulated
(37)</v>
      </c>
      <c r="P5" s="361"/>
      <c r="Q5" s="230"/>
      <c r="R5" s="357" t="str">
        <f ca="1">"Mostly Regulated" &amp; CHAR( 10 ) &amp; "(" &amp; R14 &amp; ")"</f>
        <v>Mostly Regulated
(18)</v>
      </c>
      <c r="S5" s="361"/>
      <c r="T5" s="230"/>
      <c r="U5" s="357" t="str">
        <f ca="1">"Diversified" &amp; CHAR( 10 ) &amp; "(" &amp; U14 &amp; ")"</f>
        <v>Diversified
(3)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>
      <c r="A6" s="219" t="s">
        <v>212</v>
      </c>
      <c r="B6" s="220" t="s">
        <v>48</v>
      </c>
      <c r="C6" s="249" t="s">
        <v>214</v>
      </c>
      <c r="D6" s="221"/>
      <c r="E6" s="222">
        <v>40543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431</v>
      </c>
      <c r="B7" s="224" t="s">
        <v>164</v>
      </c>
      <c r="C7" s="224">
        <v>22</v>
      </c>
      <c r="D7" s="224" t="s">
        <v>432</v>
      </c>
      <c r="E7" s="225" t="str">
        <f t="shared" ref="E7:E61" ca="1" si="0">OFFSET( INDIRECT( E$3 &amp; E$4 ), $G7 - 1, 0 )</f>
        <v>R</v>
      </c>
      <c r="F7" s="365"/>
      <c r="G7" s="366">
        <f t="shared" ref="G7:G66" ca="1" si="1">IF( LEN( $D7 ) = 0, "", MATCH( $D7, INDIRECT( G$3 &amp; G$4 ), 0 ) )</f>
        <v>39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12</v>
      </c>
      <c r="AW7" s="168">
        <f>COUNTIF( AV7:AV$7, AV7 )</f>
        <v>1</v>
      </c>
      <c r="AX7" s="208">
        <f>AV7 + AW7 / 10</f>
        <v>12.1</v>
      </c>
      <c r="AY7" s="168">
        <f>RANK( AX7, $AX$7:$AX$63, 1 )</f>
        <v>12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34</v>
      </c>
      <c r="BF7" s="173" t="str">
        <f t="shared" ref="BF7:BF38" ca="1" si="8">OFFSET( AQ$6, $BD7, 0 )</f>
        <v>NSTAR</v>
      </c>
      <c r="BG7" s="173" t="str">
        <f t="shared" ref="BG7:BI62" ca="1" si="9">OFFSET( AR$6, $BD7, 0 )</f>
        <v>A+</v>
      </c>
      <c r="BH7" s="173">
        <f t="shared" ca="1" si="9"/>
        <v>22</v>
      </c>
      <c r="BI7" s="173" t="str">
        <f t="shared" ca="1" si="9"/>
        <v>NST</v>
      </c>
    </row>
    <row r="8" spans="1:61" ht="13.9">
      <c r="A8" s="223" t="s">
        <v>293</v>
      </c>
      <c r="B8" s="224" t="s">
        <v>166</v>
      </c>
      <c r="C8" s="224">
        <v>21</v>
      </c>
      <c r="D8" s="224" t="s">
        <v>294</v>
      </c>
      <c r="E8" s="225" t="str">
        <f t="shared" ca="1" si="0"/>
        <v>R</v>
      </c>
      <c r="F8" s="365"/>
      <c r="G8" s="366">
        <f t="shared" ca="1" si="1"/>
        <v>53</v>
      </c>
      <c r="H8" s="367"/>
      <c r="I8" s="233"/>
      <c r="J8" s="213" t="s">
        <v>137</v>
      </c>
      <c r="K8" s="233"/>
      <c r="L8" s="213">
        <f t="shared" ref="L8:L13" si="10">COUNTIF($C$7:$C$67,$X8)</f>
        <v>4</v>
      </c>
      <c r="M8" s="214">
        <f t="shared" ref="M8:M13" si="11">IF( L8 = 0, "", L8/L$14 )</f>
        <v>6.8965517241379309E-2</v>
      </c>
      <c r="N8" s="233"/>
      <c r="O8" s="213">
        <f t="shared" ref="O8:O13" ca="1" si="12">COUNTIFS( $E$7:$E$66, O$3, $C$7:$C$66, $X8 )</f>
        <v>3</v>
      </c>
      <c r="P8" s="214">
        <f t="shared" ref="P8:P13" ca="1" si="13">IF( O8 = 0, "", O8/O$14 )</f>
        <v>8.1081081081081086E-2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5.5555555555555552E-2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4</v>
      </c>
      <c r="AC8" s="368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12</v>
      </c>
      <c r="AW8" s="168">
        <f>COUNTIF( AV$7:AV8, AV8 )</f>
        <v>2</v>
      </c>
      <c r="AX8" s="208">
        <f t="shared" ref="AX8:AX63" si="22">AV8 + AW8 / 10</f>
        <v>12.2</v>
      </c>
      <c r="AY8" s="168">
        <f t="shared" ref="AY8:AY63" si="23">RANK( AX8, $AX$7:$AX$63, 1 )</f>
        <v>13</v>
      </c>
      <c r="AZ8" s="169"/>
      <c r="BA8" s="169"/>
      <c r="BC8" s="168">
        <f ca="1">OFFSET( BC8, -1, 0 ) + 1</f>
        <v>2</v>
      </c>
      <c r="BD8" s="209">
        <f t="shared" ca="1" si="7"/>
        <v>49</v>
      </c>
      <c r="BF8" s="173" t="str">
        <f t="shared" ca="1" si="8"/>
        <v>Southern Company</v>
      </c>
      <c r="BG8" s="173" t="str">
        <f t="shared" ca="1" si="9"/>
        <v>A</v>
      </c>
      <c r="BH8" s="173">
        <f t="shared" ca="1" si="9"/>
        <v>21</v>
      </c>
      <c r="BI8" s="173" t="str">
        <f t="shared" ca="1" si="9"/>
        <v>SO</v>
      </c>
    </row>
    <row r="9" spans="1:61" ht="13.9">
      <c r="A9" s="223" t="s">
        <v>227</v>
      </c>
      <c r="B9" s="224" t="s">
        <v>139</v>
      </c>
      <c r="C9" s="224">
        <v>20</v>
      </c>
      <c r="D9" s="224" t="s">
        <v>228</v>
      </c>
      <c r="E9" s="225" t="str">
        <f t="shared" ca="1" si="0"/>
        <v>R</v>
      </c>
      <c r="F9" s="365"/>
      <c r="G9" s="366">
        <f t="shared" ca="1" si="1"/>
        <v>18</v>
      </c>
      <c r="H9" s="367"/>
      <c r="I9" s="234"/>
      <c r="J9" s="215" t="s">
        <v>139</v>
      </c>
      <c r="K9" s="234"/>
      <c r="L9" s="215">
        <f t="shared" si="10"/>
        <v>9</v>
      </c>
      <c r="M9" s="216">
        <f t="shared" si="11"/>
        <v>0.15517241379310345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0.16666666666666666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68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41</v>
      </c>
      <c r="AW9" s="168">
        <f>COUNTIF( AV$7:AV9, AV9 )</f>
        <v>1</v>
      </c>
      <c r="AX9" s="208">
        <f t="shared" si="22"/>
        <v>41.1</v>
      </c>
      <c r="AY9" s="168">
        <f t="shared" si="23"/>
        <v>41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ED</v>
      </c>
    </row>
    <row r="10" spans="1:61" ht="13.9">
      <c r="A10" s="223" t="s">
        <v>361</v>
      </c>
      <c r="B10" s="224" t="s">
        <v>139</v>
      </c>
      <c r="C10" s="224">
        <v>20</v>
      </c>
      <c r="D10" s="224" t="s">
        <v>194</v>
      </c>
      <c r="E10" s="225" t="str">
        <f t="shared" ca="1" si="0"/>
        <v>MR</v>
      </c>
      <c r="F10" s="365"/>
      <c r="G10" s="366">
        <f t="shared" ca="1" si="1"/>
        <v>20</v>
      </c>
      <c r="H10" s="367"/>
      <c r="I10" s="234"/>
      <c r="J10" s="215" t="s">
        <v>140</v>
      </c>
      <c r="K10" s="234"/>
      <c r="L10" s="215">
        <f t="shared" si="10"/>
        <v>13</v>
      </c>
      <c r="M10" s="216">
        <f t="shared" si="11"/>
        <v>0.22413793103448276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0.33333333333333331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25</v>
      </c>
      <c r="AW10" s="168">
        <f>COUNTIF( AV$7:AV10, AV10 )</f>
        <v>1</v>
      </c>
      <c r="AX10" s="208">
        <f t="shared" si="22"/>
        <v>25.1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</v>
      </c>
    </row>
    <row r="11" spans="1:61" ht="13.9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0"/>
        <v>MR</v>
      </c>
      <c r="F11" s="365"/>
      <c r="G11" s="366">
        <f t="shared" ca="1" si="1"/>
        <v>22</v>
      </c>
      <c r="H11" s="367"/>
      <c r="I11" s="234"/>
      <c r="J11" s="215" t="s">
        <v>141</v>
      </c>
      <c r="K11" s="234"/>
      <c r="L11" s="215">
        <f t="shared" si="10"/>
        <v>16</v>
      </c>
      <c r="M11" s="216">
        <f t="shared" si="11"/>
        <v>0.27586206896551724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0.16666666666666666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25</v>
      </c>
      <c r="AW11" s="168">
        <f>COUNTIF( AV$7:AV11, AV11 )</f>
        <v>2</v>
      </c>
      <c r="AX11" s="208">
        <f t="shared" si="22"/>
        <v>25.2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14</v>
      </c>
      <c r="BF11" s="173" t="str">
        <f t="shared" ca="1" si="8"/>
        <v>Duke Energy Corporation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DUK</v>
      </c>
    </row>
    <row r="12" spans="1:61" ht="13.9">
      <c r="A12" s="223" t="s">
        <v>387</v>
      </c>
      <c r="B12" s="224" t="s">
        <v>139</v>
      </c>
      <c r="C12" s="224">
        <v>20</v>
      </c>
      <c r="D12" s="224" t="s">
        <v>388</v>
      </c>
      <c r="E12" s="225" t="str">
        <f t="shared" ca="1" si="0"/>
        <v>R</v>
      </c>
      <c r="F12" s="365"/>
      <c r="G12" s="366">
        <f t="shared" ca="1" si="1"/>
        <v>65</v>
      </c>
      <c r="H12" s="367"/>
      <c r="I12" s="234"/>
      <c r="J12" s="215" t="s">
        <v>142</v>
      </c>
      <c r="K12" s="234"/>
      <c r="L12" s="215">
        <f t="shared" si="10"/>
        <v>11</v>
      </c>
      <c r="M12" s="216">
        <f t="shared" si="11"/>
        <v>0.18965517241379309</v>
      </c>
      <c r="N12" s="234"/>
      <c r="O12" s="215">
        <f t="shared" ca="1" si="12"/>
        <v>5</v>
      </c>
      <c r="P12" s="216">
        <f t="shared" ca="1" si="13"/>
        <v>0.13513513513513514</v>
      </c>
      <c r="Q12" s="234"/>
      <c r="R12" s="215">
        <f t="shared" ca="1" si="14"/>
        <v>5</v>
      </c>
      <c r="S12" s="216">
        <f t="shared" ca="1" si="15"/>
        <v>0.27777777777777779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41</v>
      </c>
      <c r="AW12" s="168">
        <f>COUNTIF( AV$7:AV12, AV12 )</f>
        <v>2</v>
      </c>
      <c r="AX12" s="208">
        <f t="shared" si="22"/>
        <v>41.2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24</v>
      </c>
      <c r="BF12" s="173" t="str">
        <f t="shared" ca="1" si="8"/>
        <v>Iberdrola USA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**EAST</v>
      </c>
    </row>
    <row r="13" spans="1:61" ht="13.9">
      <c r="A13" s="223" t="s">
        <v>395</v>
      </c>
      <c r="B13" s="224" t="s">
        <v>139</v>
      </c>
      <c r="C13" s="224">
        <v>20</v>
      </c>
      <c r="D13" s="224" t="s">
        <v>396</v>
      </c>
      <c r="E13" s="225" t="str">
        <f t="shared" ca="1" si="0"/>
        <v>R</v>
      </c>
      <c r="F13" s="365"/>
      <c r="G13" s="366">
        <f t="shared" ca="1" si="1"/>
        <v>32</v>
      </c>
      <c r="H13" s="367"/>
      <c r="I13" s="235"/>
      <c r="J13" s="217" t="s">
        <v>143</v>
      </c>
      <c r="K13" s="235"/>
      <c r="L13" s="217">
        <f t="shared" si="10"/>
        <v>5</v>
      </c>
      <c r="M13" s="218">
        <f t="shared" si="11"/>
        <v>8.6206896551724144E-2</v>
      </c>
      <c r="N13" s="235"/>
      <c r="O13" s="217">
        <f t="shared" ca="1" si="12"/>
        <v>4</v>
      </c>
      <c r="P13" s="218">
        <f t="shared" ca="1" si="13"/>
        <v>0.10810810810810811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1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21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12</v>
      </c>
      <c r="AW13" s="168">
        <f>COUNTIF( AV$7:AV13, AV13 )</f>
        <v>3</v>
      </c>
      <c r="AX13" s="208">
        <f t="shared" si="22"/>
        <v>12.3</v>
      </c>
      <c r="AY13" s="168">
        <f t="shared" si="23"/>
        <v>14</v>
      </c>
      <c r="AZ13" s="169"/>
      <c r="BA13" s="169"/>
      <c r="BC13" s="168">
        <f t="shared" ca="1" si="24"/>
        <v>7</v>
      </c>
      <c r="BD13" s="209">
        <f t="shared" ca="1" si="7"/>
        <v>26</v>
      </c>
      <c r="BF13" s="173" t="str">
        <f t="shared" ca="1" si="8"/>
        <v>Integrys Energy Group,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TEG</v>
      </c>
    </row>
    <row r="14" spans="1:61" ht="13.9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0"/>
        <v>MR</v>
      </c>
      <c r="F14" s="365"/>
      <c r="G14" s="366">
        <f t="shared" ca="1" si="1"/>
        <v>35</v>
      </c>
      <c r="H14" s="367"/>
      <c r="I14" s="236"/>
      <c r="J14" s="211" t="s">
        <v>144</v>
      </c>
      <c r="K14" s="236"/>
      <c r="L14" s="211">
        <f>SUM(L8:L13)</f>
        <v>58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18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18.379310344827587</v>
      </c>
      <c r="Z14" s="190"/>
      <c r="AA14" s="189">
        <f ca="1">SUM(AA8:AA13)</f>
        <v>58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25</v>
      </c>
      <c r="AW14" s="168">
        <f>COUNTIF( AV$7:AV14, AV14 )</f>
        <v>3</v>
      </c>
      <c r="AX14" s="208">
        <f t="shared" si="22"/>
        <v>25.3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30</v>
      </c>
      <c r="BF14" s="173" t="str">
        <f t="shared" ca="1" si="8"/>
        <v>NextEra Energy, Inc.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NEE</v>
      </c>
    </row>
    <row r="15" spans="1:61" ht="13.9">
      <c r="A15" s="223" t="s">
        <v>345</v>
      </c>
      <c r="B15" s="224" t="s">
        <v>139</v>
      </c>
      <c r="C15" s="224">
        <v>20</v>
      </c>
      <c r="D15" s="224" t="s">
        <v>346</v>
      </c>
      <c r="E15" s="225" t="str">
        <f t="shared" ca="1" si="0"/>
        <v>R</v>
      </c>
      <c r="F15" s="365"/>
      <c r="G15" s="366">
        <f t="shared" ca="1" si="1"/>
        <v>58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41</v>
      </c>
      <c r="AW15" s="168">
        <f>COUNTIF( AV$7:AV15, AV15 )</f>
        <v>3</v>
      </c>
      <c r="AX15" s="208">
        <f t="shared" si="22"/>
        <v>41.3</v>
      </c>
      <c r="AY15" s="168">
        <f t="shared" si="23"/>
        <v>43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Vectren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VVC</v>
      </c>
    </row>
    <row r="16" spans="1:61" ht="13.9">
      <c r="A16" s="223" t="s">
        <v>247</v>
      </c>
      <c r="B16" s="224" t="s">
        <v>139</v>
      </c>
      <c r="C16" s="224">
        <v>20</v>
      </c>
      <c r="D16" s="224" t="s">
        <v>248</v>
      </c>
      <c r="E16" s="225" t="str">
        <f t="shared" ca="1" si="0"/>
        <v>R</v>
      </c>
      <c r="F16" s="365"/>
      <c r="G16" s="366">
        <f t="shared" ca="1" si="1"/>
        <v>60</v>
      </c>
      <c r="H16" s="367"/>
      <c r="I16" s="232"/>
      <c r="J16" s="210" t="s">
        <v>253</v>
      </c>
      <c r="K16" s="232"/>
      <c r="L16" s="354">
        <f t="array" ref="L16">SUM( IF( LEN( $C$7:$C$65 ) = 0, 0, $C$7:$C$65 ) ) / SUM( IF( LEN( $C$7:$C$65 ) = 0, 0, 1  ) )</f>
        <v>18.293103448275861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18.378378378378379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18.666666666666668</v>
      </c>
      <c r="S16" s="355"/>
      <c r="T16" s="232"/>
      <c r="U16" s="354">
        <f t="array" aca="1" ref="U16" ca="1">SUM( IF( LEN( $C$7:$C$65 ) = 0, 0, IF( $E$7:$E$65 = U3, $C$7:$C$65, 0 ) ) ) / SUM( IF( LEN( $C$7:$C$65 ) = 0, 0, IF( $E$7:$E$65 = U3, 1, 0 ) ) )</f>
        <v>15</v>
      </c>
      <c r="V16" s="356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3</v>
      </c>
      <c r="AW16" s="168">
        <f>COUNTIF( AV$7:AV16, AV16 )</f>
        <v>1</v>
      </c>
      <c r="AX16" s="208">
        <f t="shared" si="22"/>
        <v>3.1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Wisconsin Energy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WEC</v>
      </c>
    </row>
    <row r="17" spans="1:61" ht="13.9">
      <c r="A17" s="223" t="s">
        <v>251</v>
      </c>
      <c r="B17" s="224" t="s">
        <v>139</v>
      </c>
      <c r="C17" s="224">
        <v>20</v>
      </c>
      <c r="D17" s="224" t="s">
        <v>252</v>
      </c>
      <c r="E17" s="225" t="str">
        <f t="shared" ca="1" si="0"/>
        <v>R</v>
      </c>
      <c r="F17" s="365"/>
      <c r="G17" s="366">
        <f t="shared" ca="1" si="1"/>
        <v>61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3</v>
      </c>
      <c r="AW17" s="168">
        <f>COUNTIF( AV$7:AV17, AV17 )</f>
        <v>2</v>
      </c>
      <c r="AX17" s="208">
        <f t="shared" si="22"/>
        <v>3.2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55</v>
      </c>
      <c r="BF17" s="173" t="str">
        <f t="shared" ca="1" si="8"/>
        <v>Xcel Energy Inc.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XEL</v>
      </c>
    </row>
    <row r="18" spans="1:61" ht="13.9">
      <c r="A18" s="223" t="s">
        <v>217</v>
      </c>
      <c r="B18" s="224" t="s">
        <v>140</v>
      </c>
      <c r="C18" s="224">
        <v>19</v>
      </c>
      <c r="D18" s="224" t="s">
        <v>218</v>
      </c>
      <c r="E18" s="225" t="str">
        <f t="shared" ca="1" si="0"/>
        <v>R</v>
      </c>
      <c r="F18" s="365"/>
      <c r="G18" s="366">
        <f t="shared" ca="1" si="1"/>
        <v>7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17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142</v>
      </c>
      <c r="AS18" s="207">
        <v>17</v>
      </c>
      <c r="AT18" s="207" t="s">
        <v>260</v>
      </c>
      <c r="AV18" s="168">
        <f t="shared" si="21"/>
        <v>41</v>
      </c>
      <c r="AW18" s="168">
        <f>COUNTIF( AV$7:AV18, AV18 )</f>
        <v>4</v>
      </c>
      <c r="AX18" s="208">
        <f t="shared" si="22"/>
        <v>41.4</v>
      </c>
      <c r="AY18" s="168">
        <f t="shared" si="23"/>
        <v>44</v>
      </c>
      <c r="AZ18" s="169"/>
      <c r="BA18" s="169"/>
      <c r="BC18" s="168">
        <f t="shared" ca="1" si="24"/>
        <v>12</v>
      </c>
      <c r="BD18" s="209">
        <f t="shared" ca="1" si="7"/>
        <v>1</v>
      </c>
      <c r="BF18" s="173" t="str">
        <f t="shared" ca="1" si="8"/>
        <v>ALLETE,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ALE</v>
      </c>
    </row>
    <row r="19" spans="1:61" ht="13.9">
      <c r="A19" s="223" t="s">
        <v>219</v>
      </c>
      <c r="B19" s="224" t="s">
        <v>140</v>
      </c>
      <c r="C19" s="224">
        <v>19</v>
      </c>
      <c r="D19" s="224" t="s">
        <v>220</v>
      </c>
      <c r="E19" s="225" t="str">
        <f t="shared" ca="1" si="0"/>
        <v>R</v>
      </c>
      <c r="F19" s="365"/>
      <c r="G19" s="366">
        <f t="shared" ca="1" si="1"/>
        <v>8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18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12</v>
      </c>
      <c r="AW19" s="168">
        <f>COUNTIF( AV$7:AV19, AV19 )</f>
        <v>4</v>
      </c>
      <c r="AX19" s="208">
        <f t="shared" si="22"/>
        <v>12.4</v>
      </c>
      <c r="AY19" s="168">
        <f t="shared" si="23"/>
        <v>15</v>
      </c>
      <c r="AZ19" s="169"/>
      <c r="BA19" s="169"/>
      <c r="BC19" s="168">
        <f t="shared" ca="1" si="24"/>
        <v>13</v>
      </c>
      <c r="BD19" s="209">
        <f t="shared" ca="1" si="7"/>
        <v>2</v>
      </c>
      <c r="BF19" s="173" t="str">
        <f t="shared" ca="1" si="8"/>
        <v>Alliant Energy Corporation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LNT</v>
      </c>
    </row>
    <row r="20" spans="1:61" ht="13.9">
      <c r="A20" s="223" t="s">
        <v>249</v>
      </c>
      <c r="B20" s="224" t="s">
        <v>140</v>
      </c>
      <c r="C20" s="224">
        <v>19</v>
      </c>
      <c r="D20" s="224" t="s">
        <v>250</v>
      </c>
      <c r="E20" s="225" t="str">
        <f t="shared" ca="1" si="0"/>
        <v>MR</v>
      </c>
      <c r="F20" s="365"/>
      <c r="G20" s="366">
        <f t="shared" ca="1" si="1"/>
        <v>13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139</v>
      </c>
      <c r="AS20" s="207">
        <v>20</v>
      </c>
      <c r="AT20" s="207" t="s">
        <v>264</v>
      </c>
      <c r="AV20" s="168">
        <f t="shared" si="21"/>
        <v>3</v>
      </c>
      <c r="AW20" s="168">
        <f>COUNTIF( AV$7:AV20, AV20 )</f>
        <v>3</v>
      </c>
      <c r="AX20" s="208">
        <f t="shared" si="22"/>
        <v>3.3</v>
      </c>
      <c r="AY20" s="168">
        <f t="shared" si="23"/>
        <v>5</v>
      </c>
      <c r="AZ20" s="169"/>
      <c r="BA20" s="169"/>
      <c r="BC20" s="168">
        <f t="shared" ca="1" si="24"/>
        <v>14</v>
      </c>
      <c r="BD20" s="209">
        <f t="shared" ca="1" si="7"/>
        <v>7</v>
      </c>
      <c r="BF20" s="173" t="str">
        <f t="shared" ca="1" si="8"/>
        <v>CenterPoint Energy,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CNP</v>
      </c>
    </row>
    <row r="21" spans="1:61" ht="13.9">
      <c r="A21" s="223" t="s">
        <v>261</v>
      </c>
      <c r="B21" s="224" t="s">
        <v>140</v>
      </c>
      <c r="C21" s="224">
        <v>19</v>
      </c>
      <c r="D21" s="224" t="s">
        <v>262</v>
      </c>
      <c r="E21" s="225" t="str">
        <f t="shared" ca="1" si="0"/>
        <v>R</v>
      </c>
      <c r="F21" s="365"/>
      <c r="G21" s="366">
        <f t="shared" ca="1" si="1"/>
        <v>21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41</v>
      </c>
      <c r="AW21" s="168">
        <f>COUNTIF( AV$7:AV21, AV21 )</f>
        <v>5</v>
      </c>
      <c r="AX21" s="208">
        <f t="shared" si="22"/>
        <v>41.5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DTE</v>
      </c>
    </row>
    <row r="22" spans="1:61" ht="13.9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65"/>
      <c r="G22" s="366">
        <f t="shared" ca="1" si="1"/>
        <v>33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25</v>
      </c>
      <c r="AW22" s="168">
        <f>COUNTIF( AV$7:AV22, AV22 )</f>
        <v>4</v>
      </c>
      <c r="AX22" s="208">
        <f t="shared" si="22"/>
        <v>25.4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9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65"/>
      <c r="G23" s="366">
        <f t="shared" ca="1" si="1"/>
        <v>67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41</v>
      </c>
      <c r="AW23" s="168">
        <f>COUNTIF( AV$7:AV23, AV23 )</f>
        <v>6</v>
      </c>
      <c r="AX23" s="208">
        <f t="shared" si="22"/>
        <v>41.6</v>
      </c>
      <c r="AY23" s="168">
        <f t="shared" si="23"/>
        <v>46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9">
      <c r="A24" s="223" t="s">
        <v>394</v>
      </c>
      <c r="B24" s="224" t="s">
        <v>140</v>
      </c>
      <c r="C24" s="224">
        <v>19</v>
      </c>
      <c r="D24" s="224" t="s">
        <v>236</v>
      </c>
      <c r="E24" s="225" t="str">
        <f t="shared" ca="1" si="0"/>
        <v>R</v>
      </c>
      <c r="F24" s="365"/>
      <c r="G24" s="366">
        <f t="shared" ca="1" si="1"/>
        <v>37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55</v>
      </c>
      <c r="AW24" s="168">
        <f>COUNTIF( AV$7:AV24, AV24 )</f>
        <v>1</v>
      </c>
      <c r="AX24" s="208">
        <f t="shared" si="22"/>
        <v>55.1</v>
      </c>
      <c r="AY24" s="168">
        <f t="shared" si="23"/>
        <v>55</v>
      </c>
      <c r="AZ24" s="169"/>
      <c r="BA24" s="169"/>
      <c r="BC24" s="168">
        <f t="shared" ca="1" si="24"/>
        <v>18</v>
      </c>
      <c r="BD24" s="209">
        <f t="shared" ca="1" si="7"/>
        <v>32</v>
      </c>
      <c r="BF24" s="173" t="str">
        <f t="shared" ca="1" si="8"/>
        <v>Eversource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ES</v>
      </c>
    </row>
    <row r="25" spans="1:61" ht="13.9">
      <c r="A25" s="223" t="s">
        <v>277</v>
      </c>
      <c r="B25" s="224" t="s">
        <v>140</v>
      </c>
      <c r="C25" s="224">
        <v>19</v>
      </c>
      <c r="D25" s="224" t="s">
        <v>278</v>
      </c>
      <c r="E25" s="225" t="str">
        <f t="shared" ca="1" si="0"/>
        <v>MR</v>
      </c>
      <c r="F25" s="365"/>
      <c r="G25" s="366">
        <f t="shared" ca="1" si="1"/>
        <v>41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25</v>
      </c>
      <c r="AW25" s="168">
        <f>COUNTIF( AV$7:AV25, AV25 )</f>
        <v>5</v>
      </c>
      <c r="AX25" s="208">
        <f t="shared" si="22"/>
        <v>25.5</v>
      </c>
      <c r="AY25" s="168">
        <f t="shared" si="23"/>
        <v>29</v>
      </c>
      <c r="AZ25" s="169"/>
      <c r="BA25" s="169"/>
      <c r="BC25" s="168">
        <f t="shared" ca="1" si="24"/>
        <v>19</v>
      </c>
      <c r="BD25" s="209">
        <f t="shared" ca="1" si="7"/>
        <v>36</v>
      </c>
      <c r="BF25" s="173" t="str">
        <f t="shared" ca="1" si="8"/>
        <v>OGE Energy Corp.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OGE</v>
      </c>
    </row>
    <row r="26" spans="1:61" ht="13.9">
      <c r="A26" s="223" t="s">
        <v>382</v>
      </c>
      <c r="B26" s="224" t="s">
        <v>140</v>
      </c>
      <c r="C26" s="224">
        <v>19</v>
      </c>
      <c r="D26" s="224" t="s">
        <v>383</v>
      </c>
      <c r="E26" s="225" t="str">
        <f t="shared" ca="1" si="0"/>
        <v>MR</v>
      </c>
      <c r="F26" s="365"/>
      <c r="G26" s="366">
        <f t="shared" ca="1" si="1"/>
        <v>43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25</v>
      </c>
      <c r="AW26" s="168">
        <f>COUNTIF( AV$7:AV26, AV26 )</f>
        <v>6</v>
      </c>
      <c r="AX26" s="208">
        <f t="shared" si="22"/>
        <v>25.6</v>
      </c>
      <c r="AY26" s="168">
        <f t="shared" si="23"/>
        <v>30</v>
      </c>
      <c r="AZ26" s="169"/>
      <c r="BA26" s="169"/>
      <c r="BC26" s="168">
        <f t="shared" ca="1" si="24"/>
        <v>20</v>
      </c>
      <c r="BD26" s="209">
        <f t="shared" ca="1" si="7"/>
        <v>38</v>
      </c>
      <c r="BF26" s="173" t="str">
        <f t="shared" ca="1" si="8"/>
        <v>Pepco Holdings,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POM</v>
      </c>
    </row>
    <row r="27" spans="1:61" ht="13.9">
      <c r="A27" s="223" t="s">
        <v>427</v>
      </c>
      <c r="B27" s="224" t="s">
        <v>140</v>
      </c>
      <c r="C27" s="224">
        <v>19</v>
      </c>
      <c r="D27" s="224" t="s">
        <v>428</v>
      </c>
      <c r="E27" s="225" t="str">
        <f t="shared" ca="1" si="0"/>
        <v>R</v>
      </c>
      <c r="F27" s="365"/>
      <c r="G27" s="366">
        <f t="shared" ca="1" si="1"/>
        <v>49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41</v>
      </c>
      <c r="AW27" s="168">
        <f>COUNTIF( AV$7:AV27, AV27 )</f>
        <v>7</v>
      </c>
      <c r="AX27" s="208">
        <f t="shared" si="22"/>
        <v>41.7</v>
      </c>
      <c r="AY27" s="168">
        <f t="shared" si="23"/>
        <v>47</v>
      </c>
      <c r="AZ27" s="169"/>
      <c r="BA27" s="169"/>
      <c r="BC27" s="168">
        <f t="shared" ca="1" si="24"/>
        <v>21</v>
      </c>
      <c r="BD27" s="209">
        <f t="shared" ca="1" si="7"/>
        <v>44</v>
      </c>
      <c r="BF27" s="173" t="str">
        <f t="shared" ca="1" si="8"/>
        <v>Progress Energy,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PGN</v>
      </c>
    </row>
    <row r="28" spans="1:61" ht="13.9">
      <c r="A28" s="223" t="s">
        <v>347</v>
      </c>
      <c r="B28" s="224" t="s">
        <v>140</v>
      </c>
      <c r="C28" s="224">
        <v>19</v>
      </c>
      <c r="D28" s="224" t="s">
        <v>348</v>
      </c>
      <c r="E28" s="225" t="str">
        <f t="shared" ca="1" si="0"/>
        <v>MR</v>
      </c>
      <c r="F28" s="365"/>
      <c r="G28" s="366">
        <f t="shared" ca="1" si="1"/>
        <v>51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25</v>
      </c>
      <c r="AW28" s="168">
        <f>COUNTIF( AV$7:AV28, AV28 )</f>
        <v>7</v>
      </c>
      <c r="AX28" s="208">
        <f t="shared" si="22"/>
        <v>25.7</v>
      </c>
      <c r="AY28" s="168">
        <f t="shared" si="23"/>
        <v>31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SCANA Corporation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SCG</v>
      </c>
    </row>
    <row r="29" spans="1:61" ht="13.9">
      <c r="A29" s="223" t="s">
        <v>291</v>
      </c>
      <c r="B29" s="224" t="s">
        <v>140</v>
      </c>
      <c r="C29" s="224">
        <v>19</v>
      </c>
      <c r="D29" s="224" t="s">
        <v>292</v>
      </c>
      <c r="E29" s="225" t="str">
        <f t="shared" ca="1" si="0"/>
        <v>MR</v>
      </c>
      <c r="F29" s="365"/>
      <c r="G29" s="366">
        <f t="shared" ca="1" si="1"/>
        <v>52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41</v>
      </c>
      <c r="AW29" s="168">
        <f>COUNTIF( AV$7:AV29, AV29 )</f>
        <v>8</v>
      </c>
      <c r="AX29" s="208">
        <f t="shared" si="22"/>
        <v>41.8</v>
      </c>
      <c r="AY29" s="168">
        <f t="shared" si="23"/>
        <v>48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Sempra Energy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SRE</v>
      </c>
    </row>
    <row r="30" spans="1:61" ht="13.9">
      <c r="A30" s="223" t="s">
        <v>369</v>
      </c>
      <c r="B30" s="224" t="s">
        <v>140</v>
      </c>
      <c r="C30" s="224">
        <v>19</v>
      </c>
      <c r="D30" s="224" t="s">
        <v>375</v>
      </c>
      <c r="E30" s="225" t="str">
        <f t="shared" ca="1" si="0"/>
        <v>R</v>
      </c>
      <c r="F30" s="365"/>
      <c r="G30" s="366">
        <f t="shared" ca="1" si="1"/>
        <v>54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5"/>
        <v/>
      </c>
      <c r="AQ30" s="207" t="s">
        <v>387</v>
      </c>
      <c r="AR30" s="207" t="s">
        <v>139</v>
      </c>
      <c r="AS30" s="207">
        <v>20</v>
      </c>
      <c r="AT30" s="207" t="s">
        <v>388</v>
      </c>
      <c r="AV30" s="168">
        <f t="shared" si="21"/>
        <v>3</v>
      </c>
      <c r="AW30" s="168">
        <f>COUNTIF( AV$7:AV30, AV30 )</f>
        <v>4</v>
      </c>
      <c r="AX30" s="208">
        <f t="shared" si="22"/>
        <v>3.4</v>
      </c>
      <c r="AY30" s="168">
        <f t="shared" si="23"/>
        <v>6</v>
      </c>
      <c r="AZ30" s="169"/>
      <c r="BA30" s="169"/>
      <c r="BC30" s="168">
        <f t="shared" ca="1" si="24"/>
        <v>24</v>
      </c>
      <c r="BD30" s="209">
        <f t="shared" ca="1" si="7"/>
        <v>50</v>
      </c>
      <c r="BF30" s="173" t="str">
        <f t="shared" ca="1" si="8"/>
        <v>TECO Energy, Inc.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TE</v>
      </c>
    </row>
    <row r="31" spans="1:61" ht="13.9">
      <c r="A31" s="223" t="s">
        <v>222</v>
      </c>
      <c r="B31" s="224" t="s">
        <v>141</v>
      </c>
      <c r="C31" s="224">
        <v>18</v>
      </c>
      <c r="D31" s="224" t="s">
        <v>223</v>
      </c>
      <c r="E31" s="225" t="str">
        <f t="shared" ca="1" si="0"/>
        <v>R</v>
      </c>
      <c r="F31" s="365"/>
      <c r="G31" s="366">
        <f t="shared" ca="1" si="1"/>
        <v>10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25</v>
      </c>
      <c r="AW31" s="168">
        <f>COUNTIF( AV$7:AV31, AV31 )</f>
        <v>8</v>
      </c>
      <c r="AX31" s="208">
        <f t="shared" si="22"/>
        <v>25.8</v>
      </c>
      <c r="AY31" s="168">
        <f t="shared" si="23"/>
        <v>32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3.9">
      <c r="A32" s="223" t="s">
        <v>238</v>
      </c>
      <c r="B32" s="224" t="s">
        <v>141</v>
      </c>
      <c r="C32" s="224">
        <v>18</v>
      </c>
      <c r="D32" s="224" t="s">
        <v>239</v>
      </c>
      <c r="E32" s="225" t="str">
        <f t="shared" ca="1" si="0"/>
        <v>R</v>
      </c>
      <c r="F32" s="365"/>
      <c r="G32" s="366">
        <f t="shared" ca="1" si="1"/>
        <v>11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3</v>
      </c>
      <c r="AW32" s="168">
        <f>COUNTIF( AV$7:AV32, AV32 )</f>
        <v>5</v>
      </c>
      <c r="AX32" s="208">
        <f t="shared" si="22"/>
        <v>3.5</v>
      </c>
      <c r="AY32" s="168">
        <f t="shared" si="23"/>
        <v>7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3.9">
      <c r="A33" s="223" t="s">
        <v>254</v>
      </c>
      <c r="B33" s="224" t="s">
        <v>141</v>
      </c>
      <c r="C33" s="224">
        <v>18</v>
      </c>
      <c r="D33" s="224" t="s">
        <v>378</v>
      </c>
      <c r="E33" s="225" t="str">
        <f t="shared" ca="1" si="0"/>
        <v>R</v>
      </c>
      <c r="F33" s="365"/>
      <c r="G33" s="366">
        <f t="shared" ca="1" si="1"/>
        <v>16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41</v>
      </c>
      <c r="AW33" s="168">
        <f>COUNTIF( AV$7:AV33, AV33 )</f>
        <v>9</v>
      </c>
      <c r="AX33" s="208">
        <f t="shared" si="22"/>
        <v>41.9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3.9">
      <c r="A34" s="223" t="s">
        <v>328</v>
      </c>
      <c r="B34" s="224" t="s">
        <v>141</v>
      </c>
      <c r="C34" s="224">
        <v>18</v>
      </c>
      <c r="D34" s="224" t="s">
        <v>331</v>
      </c>
      <c r="E34" s="225" t="str">
        <f t="shared" ca="1" si="0"/>
        <v>R</v>
      </c>
      <c r="F34" s="365"/>
      <c r="G34" s="366">
        <f t="shared" ca="1" si="1"/>
        <v>24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12</v>
      </c>
      <c r="AW34" s="168">
        <f>COUNTIF( AV$7:AV34, AV34 )</f>
        <v>5</v>
      </c>
      <c r="AX34" s="208">
        <f t="shared" si="22"/>
        <v>12.5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EE</v>
      </c>
    </row>
    <row r="35" spans="1:61" ht="13.9">
      <c r="A35" s="223" t="s">
        <v>267</v>
      </c>
      <c r="B35" s="224" t="s">
        <v>141</v>
      </c>
      <c r="C35" s="224">
        <v>18</v>
      </c>
      <c r="D35" s="224" t="s">
        <v>268</v>
      </c>
      <c r="E35" s="225" t="str">
        <f t="shared" ca="1" si="0"/>
        <v>R</v>
      </c>
      <c r="F35" s="365"/>
      <c r="G35" s="366">
        <f t="shared" ca="1" si="1"/>
        <v>26</v>
      </c>
      <c r="H35" s="367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12</v>
      </c>
      <c r="AW35" s="168">
        <f>COUNTIF( AV$7:AV35, AV35 )</f>
        <v>6</v>
      </c>
      <c r="AX35" s="208">
        <f t="shared" si="22"/>
        <v>12.6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19</v>
      </c>
      <c r="BF35" s="173" t="str">
        <f t="shared" ca="1" si="8"/>
        <v>Entergy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ETR</v>
      </c>
    </row>
    <row r="36" spans="1:61" ht="13.9">
      <c r="A36" s="223" t="s">
        <v>269</v>
      </c>
      <c r="B36" s="224" t="s">
        <v>141</v>
      </c>
      <c r="C36" s="224">
        <v>18</v>
      </c>
      <c r="D36" s="224" t="s">
        <v>270</v>
      </c>
      <c r="E36" s="225" t="str">
        <f t="shared" ca="1" si="0"/>
        <v>MR</v>
      </c>
      <c r="F36" s="365"/>
      <c r="G36" s="366">
        <f t="shared" ca="1" si="1"/>
        <v>27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3</v>
      </c>
      <c r="AW36" s="168">
        <f>COUNTIF( AV$7:AV36, AV36 )</f>
        <v>6</v>
      </c>
      <c r="AX36" s="208">
        <f t="shared" si="22"/>
        <v>3.6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7"/>
        <v>20</v>
      </c>
      <c r="BF36" s="173" t="str">
        <f t="shared" ca="1" si="8"/>
        <v>Exelon Corporation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EXC</v>
      </c>
    </row>
    <row r="37" spans="1:61" ht="13.9">
      <c r="A37" s="223" t="s">
        <v>352</v>
      </c>
      <c r="B37" s="224" t="s">
        <v>141</v>
      </c>
      <c r="C37" s="224">
        <v>18</v>
      </c>
      <c r="D37" s="224" t="s">
        <v>353</v>
      </c>
      <c r="E37" s="225" t="str">
        <f t="shared" ca="1" si="0"/>
        <v>R</v>
      </c>
      <c r="F37" s="365"/>
      <c r="G37" s="366">
        <f t="shared" ca="1" si="1"/>
        <v>29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41</v>
      </c>
      <c r="AW37" s="168">
        <f>COUNTIF( AV$7:AV37, AV37 )</f>
        <v>10</v>
      </c>
      <c r="AX37" s="208">
        <f t="shared" si="22"/>
        <v>42</v>
      </c>
      <c r="AY37" s="168">
        <f t="shared" si="23"/>
        <v>50</v>
      </c>
      <c r="AZ37" s="169"/>
      <c r="BA37" s="169"/>
      <c r="BC37" s="168">
        <f t="shared" ca="1" si="24"/>
        <v>31</v>
      </c>
      <c r="BD37" s="209">
        <f t="shared" ca="1" si="7"/>
        <v>22</v>
      </c>
      <c r="BF37" s="173" t="str">
        <f t="shared" ca="1" si="8"/>
        <v>Great Plains Energy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GXP</v>
      </c>
    </row>
    <row r="38" spans="1:61" ht="13.9">
      <c r="A38" s="223" t="s">
        <v>283</v>
      </c>
      <c r="B38" s="224" t="s">
        <v>141</v>
      </c>
      <c r="C38" s="224">
        <v>18</v>
      </c>
      <c r="D38" s="224" t="s">
        <v>284</v>
      </c>
      <c r="E38" s="225" t="str">
        <f t="shared" ca="1" si="0"/>
        <v>R</v>
      </c>
      <c r="F38" s="365"/>
      <c r="G38" s="366">
        <f t="shared" ca="1" si="1"/>
        <v>31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140</v>
      </c>
      <c r="AS38" s="207">
        <v>19</v>
      </c>
      <c r="AT38" s="207" t="s">
        <v>236</v>
      </c>
      <c r="AV38" s="168">
        <f t="shared" si="21"/>
        <v>12</v>
      </c>
      <c r="AW38" s="168">
        <f>COUNTIF( AV$7:AV38, AV38 )</f>
        <v>7</v>
      </c>
      <c r="AX38" s="208">
        <f t="shared" si="22"/>
        <v>12.7</v>
      </c>
      <c r="AY38" s="168">
        <f t="shared" si="23"/>
        <v>18</v>
      </c>
      <c r="AZ38" s="169"/>
      <c r="BA38" s="169"/>
      <c r="BC38" s="168">
        <f t="shared" ca="1" si="24"/>
        <v>32</v>
      </c>
      <c r="BD38" s="209">
        <f t="shared" ca="1" si="7"/>
        <v>25</v>
      </c>
      <c r="BF38" s="173" t="str">
        <f t="shared" ca="1" si="8"/>
        <v>IDACORP, Inc.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IDA</v>
      </c>
    </row>
    <row r="39" spans="1:61" ht="13.9">
      <c r="A39" s="223" t="s">
        <v>297</v>
      </c>
      <c r="B39" s="224" t="s">
        <v>141</v>
      </c>
      <c r="C39" s="224">
        <v>18</v>
      </c>
      <c r="D39" s="224" t="s">
        <v>298</v>
      </c>
      <c r="E39" s="225" t="str">
        <f t="shared" ca="1" si="0"/>
        <v>R</v>
      </c>
      <c r="F39" s="365"/>
      <c r="G39" s="366">
        <f t="shared" ca="1" si="1"/>
        <v>38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25</v>
      </c>
      <c r="AW39" s="168">
        <f>COUNTIF( AV$7:AV39, AV39 )</f>
        <v>9</v>
      </c>
      <c r="AX39" s="208">
        <f t="shared" si="22"/>
        <v>25.9</v>
      </c>
      <c r="AY39" s="168">
        <f t="shared" si="23"/>
        <v>33</v>
      </c>
      <c r="AZ39" s="169"/>
      <c r="BA39" s="169"/>
      <c r="BC39" s="168">
        <f t="shared" ca="1" si="24"/>
        <v>33</v>
      </c>
      <c r="BD39" s="209">
        <f t="shared" ca="1" si="7"/>
        <v>33</v>
      </c>
      <c r="BF39" s="173" t="str">
        <f t="shared" ref="BF39:BF63" ca="1" si="25">OFFSET( AQ$6, $BD39, 0 )</f>
        <v>NorthWestern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NWE</v>
      </c>
    </row>
    <row r="40" spans="1:61" ht="13.9">
      <c r="A40" s="223" t="s">
        <v>301</v>
      </c>
      <c r="B40" s="224" t="s">
        <v>141</v>
      </c>
      <c r="C40" s="224">
        <v>18</v>
      </c>
      <c r="D40" s="224" t="s">
        <v>302</v>
      </c>
      <c r="E40" s="225" t="str">
        <f t="shared" ca="1" si="0"/>
        <v>R</v>
      </c>
      <c r="F40" s="365"/>
      <c r="G40" s="366">
        <f t="shared" ca="1" si="1"/>
        <v>44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431</v>
      </c>
      <c r="AR40" s="207" t="s">
        <v>164</v>
      </c>
      <c r="AS40" s="207">
        <v>22</v>
      </c>
      <c r="AT40" s="207" t="s">
        <v>432</v>
      </c>
      <c r="AV40" s="168">
        <f t="shared" si="21"/>
        <v>1</v>
      </c>
      <c r="AW40" s="168">
        <f>COUNTIF( AV$7:AV40, AV40 )</f>
        <v>1</v>
      </c>
      <c r="AX40" s="208">
        <f t="shared" si="22"/>
        <v>1.1000000000000001</v>
      </c>
      <c r="AY40" s="168">
        <f t="shared" si="23"/>
        <v>1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PG&amp;E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PCG</v>
      </c>
    </row>
    <row r="41" spans="1:61" ht="13.9">
      <c r="A41" s="223" t="s">
        <v>281</v>
      </c>
      <c r="B41" s="224" t="s">
        <v>141</v>
      </c>
      <c r="C41" s="224">
        <v>18</v>
      </c>
      <c r="D41" s="224" t="s">
        <v>282</v>
      </c>
      <c r="E41" s="225" t="str">
        <f t="shared" ca="1" si="0"/>
        <v>R</v>
      </c>
      <c r="F41" s="365"/>
      <c r="G41" s="366">
        <f t="shared" ca="1" si="1"/>
        <v>45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411</v>
      </c>
      <c r="AR41" s="207" t="s">
        <v>173</v>
      </c>
      <c r="AS41" s="207">
        <v>16</v>
      </c>
      <c r="AT41" s="207" t="s">
        <v>412</v>
      </c>
      <c r="AV41" s="168">
        <f t="shared" si="21"/>
        <v>52</v>
      </c>
      <c r="AW41" s="168">
        <f>COUNTIF( AV$7:AV41, AV41 )</f>
        <v>1</v>
      </c>
      <c r="AX41" s="208">
        <f t="shared" si="22"/>
        <v>52.1</v>
      </c>
      <c r="AY41" s="168">
        <f t="shared" si="23"/>
        <v>52</v>
      </c>
      <c r="AZ41" s="169"/>
      <c r="BA41" s="169"/>
      <c r="BC41" s="168">
        <f t="shared" ca="1" si="24"/>
        <v>35</v>
      </c>
      <c r="BD41" s="209">
        <f t="shared" ca="1" si="7"/>
        <v>40</v>
      </c>
      <c r="BF41" s="173" t="str">
        <f t="shared" ca="1" si="25"/>
        <v>Pinnacle West Capital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PNW</v>
      </c>
    </row>
    <row r="42" spans="1:61" ht="13.9">
      <c r="A42" s="223" t="s">
        <v>285</v>
      </c>
      <c r="B42" s="224" t="s">
        <v>141</v>
      </c>
      <c r="C42" s="224">
        <v>18</v>
      </c>
      <c r="D42" s="224" t="s">
        <v>286</v>
      </c>
      <c r="E42" s="225" t="str">
        <f t="shared" ca="1" si="0"/>
        <v>R</v>
      </c>
      <c r="F42" s="365"/>
      <c r="G42" s="366">
        <f t="shared" ca="1" si="1"/>
        <v>47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277</v>
      </c>
      <c r="AR42" s="207" t="s">
        <v>140</v>
      </c>
      <c r="AS42" s="207">
        <v>19</v>
      </c>
      <c r="AT42" s="207" t="s">
        <v>278</v>
      </c>
      <c r="AV42" s="168">
        <f t="shared" si="21"/>
        <v>12</v>
      </c>
      <c r="AW42" s="168">
        <f>COUNTIF( AV$7:AV42, AV42 )</f>
        <v>8</v>
      </c>
      <c r="AX42" s="208">
        <f t="shared" si="22"/>
        <v>12.8</v>
      </c>
      <c r="AY42" s="168">
        <f t="shared" si="23"/>
        <v>19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Portland General Electric Company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POR</v>
      </c>
    </row>
    <row r="43" spans="1:61" ht="13.9">
      <c r="A43" s="223" t="s">
        <v>243</v>
      </c>
      <c r="B43" s="224" t="s">
        <v>141</v>
      </c>
      <c r="C43" s="224">
        <v>18</v>
      </c>
      <c r="D43" s="224" t="s">
        <v>244</v>
      </c>
      <c r="E43" s="225" t="str">
        <f t="shared" ca="1" si="0"/>
        <v>MR</v>
      </c>
      <c r="F43" s="365"/>
      <c r="G43" s="366">
        <f t="shared" ca="1" si="1"/>
        <v>48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299</v>
      </c>
      <c r="AR43" s="207" t="s">
        <v>142</v>
      </c>
      <c r="AS43" s="207">
        <v>17</v>
      </c>
      <c r="AT43" s="207" t="s">
        <v>300</v>
      </c>
      <c r="AV43" s="168">
        <f t="shared" si="21"/>
        <v>41</v>
      </c>
      <c r="AW43" s="168">
        <f>COUNTIF( AV$7:AV43, AV43 )</f>
        <v>11</v>
      </c>
      <c r="AX43" s="208">
        <f t="shared" si="22"/>
        <v>42.1</v>
      </c>
      <c r="AY43" s="168">
        <f t="shared" si="23"/>
        <v>51</v>
      </c>
      <c r="AZ43" s="169"/>
      <c r="BA43" s="169"/>
      <c r="BC43" s="168">
        <f t="shared" ca="1" si="24"/>
        <v>37</v>
      </c>
      <c r="BD43" s="209">
        <f t="shared" ca="1" si="7"/>
        <v>43</v>
      </c>
      <c r="BF43" s="173" t="str">
        <f t="shared" ca="1" si="25"/>
        <v>PPL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PPL</v>
      </c>
    </row>
    <row r="44" spans="1:61" ht="13.9">
      <c r="A44" s="223" t="s">
        <v>289</v>
      </c>
      <c r="B44" s="224" t="s">
        <v>141</v>
      </c>
      <c r="C44" s="224">
        <v>18</v>
      </c>
      <c r="D44" s="224" t="s">
        <v>290</v>
      </c>
      <c r="E44" s="225" t="str">
        <f t="shared" ca="1" si="0"/>
        <v>MR</v>
      </c>
      <c r="F44" s="365"/>
      <c r="G44" s="366">
        <f t="shared" ca="1" si="1"/>
        <v>50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382</v>
      </c>
      <c r="AR44" s="207" t="s">
        <v>140</v>
      </c>
      <c r="AS44" s="207">
        <v>19</v>
      </c>
      <c r="AT44" s="207" t="s">
        <v>383</v>
      </c>
      <c r="AV44" s="168">
        <f t="shared" si="21"/>
        <v>12</v>
      </c>
      <c r="AW44" s="168">
        <f>COUNTIF( AV$7:AV44, AV44 )</f>
        <v>9</v>
      </c>
      <c r="AX44" s="208">
        <f t="shared" si="22"/>
        <v>12.9</v>
      </c>
      <c r="AY44" s="168">
        <f t="shared" si="23"/>
        <v>20</v>
      </c>
      <c r="AZ44" s="169"/>
      <c r="BA44" s="169"/>
      <c r="BC44" s="168">
        <f t="shared" ca="1" si="24"/>
        <v>38</v>
      </c>
      <c r="BD44" s="209">
        <f t="shared" ca="1" si="7"/>
        <v>45</v>
      </c>
      <c r="BF44" s="173" t="str">
        <f t="shared" ca="1" si="25"/>
        <v>Public Service Enterprise Group Incorporated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PEG</v>
      </c>
    </row>
    <row r="45" spans="1:61" ht="13.9">
      <c r="A45" s="223" t="s">
        <v>389</v>
      </c>
      <c r="B45" s="224" t="s">
        <v>141</v>
      </c>
      <c r="C45" s="224">
        <v>18</v>
      </c>
      <c r="D45" s="224" t="s">
        <v>390</v>
      </c>
      <c r="E45" s="225" t="str">
        <f t="shared" ca="1" si="0"/>
        <v>R</v>
      </c>
      <c r="F45" s="365"/>
      <c r="G45" s="366">
        <f t="shared" ca="1" si="1"/>
        <v>55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301</v>
      </c>
      <c r="AR45" s="207" t="s">
        <v>141</v>
      </c>
      <c r="AS45" s="207">
        <v>18</v>
      </c>
      <c r="AT45" s="207" t="s">
        <v>302</v>
      </c>
      <c r="AV45" s="168">
        <f t="shared" si="21"/>
        <v>25</v>
      </c>
      <c r="AW45" s="168">
        <f>COUNTIF( AV$7:AV45, AV45 )</f>
        <v>10</v>
      </c>
      <c r="AX45" s="208">
        <f t="shared" si="22"/>
        <v>26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51</v>
      </c>
      <c r="BF45" s="173" t="str">
        <f t="shared" ca="1" si="25"/>
        <v>UIL Holdings Corporation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UIL</v>
      </c>
    </row>
    <row r="46" spans="1:61" ht="13.9">
      <c r="A46" s="223" t="s">
        <v>354</v>
      </c>
      <c r="B46" s="224" t="s">
        <v>141</v>
      </c>
      <c r="C46" s="224">
        <v>18</v>
      </c>
      <c r="D46" s="224" t="s">
        <v>355</v>
      </c>
      <c r="E46" s="225" t="str">
        <f t="shared" ca="1" si="0"/>
        <v>R</v>
      </c>
      <c r="F46" s="365"/>
      <c r="G46" s="366">
        <f t="shared" ca="1" si="1"/>
        <v>59</v>
      </c>
      <c r="H46" s="367"/>
      <c r="I46" s="191"/>
      <c r="K46" s="191"/>
      <c r="N46" s="368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281</v>
      </c>
      <c r="AR46" s="207" t="s">
        <v>141</v>
      </c>
      <c r="AS46" s="207">
        <v>18</v>
      </c>
      <c r="AT46" s="207" t="s">
        <v>282</v>
      </c>
      <c r="AV46" s="168">
        <f t="shared" si="21"/>
        <v>25</v>
      </c>
      <c r="AW46" s="168">
        <f>COUNTIF( AV$7:AV46, AV46 )</f>
        <v>11</v>
      </c>
      <c r="AX46" s="208">
        <f t="shared" si="22"/>
        <v>26.1</v>
      </c>
      <c r="AY46" s="168">
        <f t="shared" si="23"/>
        <v>35</v>
      </c>
      <c r="AZ46" s="169"/>
      <c r="BA46" s="169"/>
      <c r="BC46" s="168">
        <f t="shared" ca="1" si="24"/>
        <v>40</v>
      </c>
      <c r="BD46" s="209">
        <f t="shared" ca="1" si="7"/>
        <v>53</v>
      </c>
      <c r="BF46" s="173" t="str">
        <f t="shared" ca="1" si="25"/>
        <v>Westar Energy, Inc.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WR</v>
      </c>
    </row>
    <row r="47" spans="1:61" ht="13.9">
      <c r="A47" s="223" t="s">
        <v>225</v>
      </c>
      <c r="B47" s="224" t="s">
        <v>142</v>
      </c>
      <c r="C47" s="224">
        <v>17</v>
      </c>
      <c r="D47" s="224" t="s">
        <v>226</v>
      </c>
      <c r="E47" s="225" t="str">
        <f t="shared" ca="1" si="0"/>
        <v>R</v>
      </c>
      <c r="F47" s="365"/>
      <c r="G47" s="366">
        <f t="shared" ca="1" si="1"/>
        <v>9</v>
      </c>
      <c r="H47" s="367"/>
      <c r="I47" s="367"/>
      <c r="J47" s="187" t="s">
        <v>373</v>
      </c>
      <c r="K47" s="191"/>
      <c r="M47" s="368"/>
      <c r="N47" s="368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303</v>
      </c>
      <c r="AR47" s="207" t="s">
        <v>175</v>
      </c>
      <c r="AS47" s="207">
        <v>15</v>
      </c>
      <c r="AT47" s="207" t="s">
        <v>304</v>
      </c>
      <c r="AV47" s="168">
        <f t="shared" si="21"/>
        <v>54</v>
      </c>
      <c r="AW47" s="168">
        <f>COUNTIF( AV$7:AV47, AV47 )</f>
        <v>1</v>
      </c>
      <c r="AX47" s="208">
        <f t="shared" si="22"/>
        <v>54.1</v>
      </c>
      <c r="AY47" s="168">
        <f t="shared" si="23"/>
        <v>54</v>
      </c>
      <c r="AZ47" s="169"/>
      <c r="BA47" s="169"/>
      <c r="BC47" s="168">
        <f t="shared" ca="1" si="24"/>
        <v>41</v>
      </c>
      <c r="BD47" s="209">
        <f t="shared" ca="1" si="7"/>
        <v>3</v>
      </c>
      <c r="BF47" s="173" t="str">
        <f t="shared" ca="1" si="25"/>
        <v>Ameren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AEE</v>
      </c>
    </row>
    <row r="48" spans="1:61" ht="13.9">
      <c r="A48" s="223" t="s">
        <v>245</v>
      </c>
      <c r="B48" s="224" t="s">
        <v>142</v>
      </c>
      <c r="C48" s="224">
        <v>17</v>
      </c>
      <c r="D48" s="224" t="s">
        <v>246</v>
      </c>
      <c r="E48" s="225" t="str">
        <f t="shared" ca="1" si="0"/>
        <v>MR</v>
      </c>
      <c r="F48" s="365"/>
      <c r="G48" s="366">
        <f t="shared" ca="1" si="1"/>
        <v>12</v>
      </c>
      <c r="H48" s="367"/>
      <c r="I48" s="367"/>
      <c r="K48" s="191"/>
      <c r="M48" s="368"/>
      <c r="N48" s="368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285</v>
      </c>
      <c r="AR48" s="207" t="s">
        <v>141</v>
      </c>
      <c r="AS48" s="207">
        <v>18</v>
      </c>
      <c r="AT48" s="207" t="s">
        <v>286</v>
      </c>
      <c r="AV48" s="168">
        <f t="shared" si="21"/>
        <v>25</v>
      </c>
      <c r="AW48" s="168">
        <f>COUNTIF( AV$7:AV48, AV48 )</f>
        <v>12</v>
      </c>
      <c r="AX48" s="208">
        <f t="shared" si="22"/>
        <v>26.2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BKH</v>
      </c>
    </row>
    <row r="49" spans="1:61" ht="13.9">
      <c r="A49" s="223" t="s">
        <v>256</v>
      </c>
      <c r="B49" s="224" t="s">
        <v>142</v>
      </c>
      <c r="C49" s="224">
        <v>17</v>
      </c>
      <c r="D49" s="224" t="s">
        <v>257</v>
      </c>
      <c r="E49" s="225" t="str">
        <f t="shared" ca="1" si="0"/>
        <v>R</v>
      </c>
      <c r="F49" s="365"/>
      <c r="G49" s="366">
        <f t="shared" ca="1" si="1"/>
        <v>17</v>
      </c>
      <c r="H49" s="367"/>
      <c r="I49" s="367"/>
      <c r="J49" s="191"/>
      <c r="K49" s="191"/>
      <c r="M49" s="368"/>
      <c r="N49" s="368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243</v>
      </c>
      <c r="AR49" s="207" t="s">
        <v>141</v>
      </c>
      <c r="AS49" s="207">
        <v>18</v>
      </c>
      <c r="AT49" s="207" t="s">
        <v>244</v>
      </c>
      <c r="AV49" s="168">
        <f t="shared" si="21"/>
        <v>25</v>
      </c>
      <c r="AW49" s="168">
        <f>COUNTIF( AV$7:AV49, AV49 )</f>
        <v>13</v>
      </c>
      <c r="AX49" s="208">
        <f t="shared" si="22"/>
        <v>26.3</v>
      </c>
      <c r="AY49" s="168">
        <f t="shared" si="23"/>
        <v>37</v>
      </c>
      <c r="AZ49" s="169"/>
      <c r="BA49" s="169"/>
      <c r="BC49" s="168">
        <f t="shared" ca="1" si="24"/>
        <v>43</v>
      </c>
      <c r="BD49" s="209">
        <f t="shared" ca="1" si="7"/>
        <v>9</v>
      </c>
      <c r="BF49" s="173" t="str">
        <f t="shared" ca="1" si="25"/>
        <v>CMS Energy Corporation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CMS</v>
      </c>
    </row>
    <row r="50" spans="1:61" ht="13.9">
      <c r="A50" s="223" t="s">
        <v>259</v>
      </c>
      <c r="B50" s="224" t="s">
        <v>142</v>
      </c>
      <c r="C50" s="224">
        <v>17</v>
      </c>
      <c r="D50" s="224" t="s">
        <v>260</v>
      </c>
      <c r="E50" s="225" t="str">
        <f t="shared" ca="1" si="0"/>
        <v>R</v>
      </c>
      <c r="F50" s="365"/>
      <c r="G50" s="366">
        <f t="shared" ca="1" si="1"/>
        <v>63</v>
      </c>
      <c r="H50" s="367"/>
      <c r="I50" s="367"/>
      <c r="J50" s="191"/>
      <c r="K50" s="191"/>
      <c r="M50" s="368"/>
      <c r="N50" s="368"/>
      <c r="AF50" s="169">
        <f t="shared" si="2"/>
        <v>0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427</v>
      </c>
      <c r="AR50" s="207" t="s">
        <v>140</v>
      </c>
      <c r="AS50" s="207">
        <v>19</v>
      </c>
      <c r="AT50" s="207" t="s">
        <v>428</v>
      </c>
      <c r="AV50" s="168">
        <f t="shared" si="21"/>
        <v>12</v>
      </c>
      <c r="AW50" s="168">
        <f>COUNTIF( AV$7:AV50, AV50 )</f>
        <v>10</v>
      </c>
      <c r="AX50" s="208">
        <f t="shared" si="22"/>
        <v>13</v>
      </c>
      <c r="AY50" s="168">
        <f t="shared" si="23"/>
        <v>21</v>
      </c>
      <c r="AZ50" s="169"/>
      <c r="BA50" s="169"/>
      <c r="BC50" s="168">
        <f t="shared" ca="1" si="24"/>
        <v>44</v>
      </c>
      <c r="BD50" s="209">
        <f t="shared" ca="1" si="7"/>
        <v>12</v>
      </c>
      <c r="BF50" s="173" t="str">
        <f t="shared" ca="1" si="25"/>
        <v>DPL Inc.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**DPL</v>
      </c>
    </row>
    <row r="51" spans="1:61" ht="13.9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0"/>
        <v>MR</v>
      </c>
      <c r="F51" s="365"/>
      <c r="G51" s="366">
        <f t="shared" ca="1" si="1"/>
        <v>23</v>
      </c>
      <c r="H51" s="367"/>
      <c r="I51" s="367"/>
      <c r="J51" s="191"/>
      <c r="K51" s="191"/>
      <c r="M51" s="368"/>
      <c r="N51" s="368"/>
      <c r="AF51" s="169">
        <f t="shared" si="2"/>
        <v>0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289</v>
      </c>
      <c r="AR51" s="207" t="s">
        <v>141</v>
      </c>
      <c r="AS51" s="207">
        <v>18</v>
      </c>
      <c r="AT51" s="207" t="s">
        <v>290</v>
      </c>
      <c r="AV51" s="168">
        <f t="shared" si="21"/>
        <v>25</v>
      </c>
      <c r="AW51" s="168">
        <f>COUNTIF( AV$7:AV51, AV51 )</f>
        <v>14</v>
      </c>
      <c r="AX51" s="208">
        <f t="shared" si="22"/>
        <v>26.4</v>
      </c>
      <c r="AY51" s="168">
        <f t="shared" si="23"/>
        <v>38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3.9">
      <c r="A52" s="223" t="s">
        <v>367</v>
      </c>
      <c r="B52" s="224" t="s">
        <v>142</v>
      </c>
      <c r="C52" s="224">
        <v>17</v>
      </c>
      <c r="D52" s="224" t="s">
        <v>368</v>
      </c>
      <c r="E52" s="225" t="str">
        <f t="shared" ca="1" si="0"/>
        <v>R</v>
      </c>
      <c r="F52" s="365"/>
      <c r="G52" s="366">
        <f t="shared" ca="1" si="1"/>
        <v>25</v>
      </c>
      <c r="H52" s="367"/>
      <c r="I52" s="367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305</v>
      </c>
      <c r="AR52" s="207" t="s">
        <v>173</v>
      </c>
      <c r="AS52" s="207">
        <v>16</v>
      </c>
      <c r="AT52" s="207" t="s">
        <v>306</v>
      </c>
      <c r="AV52" s="168">
        <f t="shared" si="21"/>
        <v>52</v>
      </c>
      <c r="AW52" s="168">
        <f>COUNTIF( AV$7:AV52, AV52 )</f>
        <v>2</v>
      </c>
      <c r="AX52" s="208">
        <f t="shared" si="22"/>
        <v>52.2</v>
      </c>
      <c r="AY52" s="168">
        <f t="shared" si="23"/>
        <v>53</v>
      </c>
      <c r="AZ52" s="169"/>
      <c r="BA52" s="169"/>
      <c r="BC52" s="168">
        <f t="shared" ca="1" si="24"/>
        <v>46</v>
      </c>
      <c r="BD52" s="209">
        <f t="shared" ca="1" si="7"/>
        <v>17</v>
      </c>
      <c r="BF52" s="173" t="str">
        <f t="shared" ca="1" si="25"/>
        <v>Empire District Electric Company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EDE</v>
      </c>
    </row>
    <row r="53" spans="1:61" ht="13.9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0"/>
        <v>MR</v>
      </c>
      <c r="F53" s="365"/>
      <c r="G53" s="366">
        <f t="shared" ca="1" si="1"/>
        <v>28</v>
      </c>
      <c r="H53" s="367"/>
      <c r="I53" s="367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347</v>
      </c>
      <c r="AR53" s="207" t="s">
        <v>140</v>
      </c>
      <c r="AS53" s="207">
        <v>19</v>
      </c>
      <c r="AT53" s="207" t="s">
        <v>348</v>
      </c>
      <c r="AV53" s="168">
        <f t="shared" si="21"/>
        <v>12</v>
      </c>
      <c r="AW53" s="168">
        <f>COUNTIF( AV$7:AV53, AV53 )</f>
        <v>11</v>
      </c>
      <c r="AX53" s="208">
        <f t="shared" si="22"/>
        <v>13.1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21</v>
      </c>
      <c r="BF53" s="173" t="str">
        <f t="shared" ca="1" si="25"/>
        <v>FirstEnergy Corp.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FE</v>
      </c>
    </row>
    <row r="54" spans="1:61" ht="13.9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0"/>
        <v>D</v>
      </c>
      <c r="F54" s="365"/>
      <c r="G54" s="366">
        <f t="shared" ca="1" si="1"/>
        <v>30</v>
      </c>
      <c r="H54" s="367"/>
      <c r="I54" s="367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291</v>
      </c>
      <c r="AR54" s="207" t="s">
        <v>140</v>
      </c>
      <c r="AS54" s="207">
        <v>19</v>
      </c>
      <c r="AT54" s="207" t="s">
        <v>292</v>
      </c>
      <c r="AV54" s="168">
        <f t="shared" si="21"/>
        <v>12</v>
      </c>
      <c r="AW54" s="168">
        <f>COUNTIF( AV$7:AV54, AV54 )</f>
        <v>12</v>
      </c>
      <c r="AX54" s="208">
        <f t="shared" si="22"/>
        <v>13.2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23</v>
      </c>
      <c r="BF54" s="173" t="str">
        <f t="shared" ca="1" si="25"/>
        <v>Hawaiian Electric Industries,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HE</v>
      </c>
    </row>
    <row r="55" spans="1:61" ht="13.9">
      <c r="A55" s="223" t="s">
        <v>287</v>
      </c>
      <c r="B55" s="224" t="s">
        <v>142</v>
      </c>
      <c r="C55" s="224">
        <v>17</v>
      </c>
      <c r="D55" s="224" t="s">
        <v>288</v>
      </c>
      <c r="E55" s="225" t="str">
        <f t="shared" ca="1" si="0"/>
        <v>R</v>
      </c>
      <c r="F55" s="365"/>
      <c r="G55" s="366">
        <f t="shared" ca="1" si="1"/>
        <v>66</v>
      </c>
      <c r="H55" s="367"/>
      <c r="I55" s="367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293</v>
      </c>
      <c r="AR55" s="207" t="s">
        <v>166</v>
      </c>
      <c r="AS55" s="207">
        <v>21</v>
      </c>
      <c r="AT55" s="207" t="s">
        <v>294</v>
      </c>
      <c r="AV55" s="168">
        <f t="shared" si="21"/>
        <v>2</v>
      </c>
      <c r="AW55" s="168">
        <f>COUNTIF( AV$7:AV55, AV55 )</f>
        <v>1</v>
      </c>
      <c r="AX55" s="208">
        <f t="shared" si="22"/>
        <v>2.1</v>
      </c>
      <c r="AY55" s="168">
        <f t="shared" si="23"/>
        <v>2</v>
      </c>
      <c r="AZ55" s="169"/>
      <c r="BA55" s="169"/>
      <c r="BC55" s="168">
        <f t="shared" ca="1" si="24"/>
        <v>49</v>
      </c>
      <c r="BD55" s="209">
        <f t="shared" ca="1" si="7"/>
        <v>27</v>
      </c>
      <c r="BF55" s="173" t="str">
        <f t="shared" ca="1" si="25"/>
        <v>IPALCO Enterprises,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**IPALCO</v>
      </c>
    </row>
    <row r="56" spans="1:61" ht="13.9">
      <c r="A56" s="223" t="s">
        <v>273</v>
      </c>
      <c r="B56" s="224" t="s">
        <v>142</v>
      </c>
      <c r="C56" s="224">
        <v>17</v>
      </c>
      <c r="D56" s="224" t="s">
        <v>274</v>
      </c>
      <c r="E56" s="225" t="str">
        <f t="shared" ca="1" si="0"/>
        <v>MR</v>
      </c>
      <c r="F56" s="365"/>
      <c r="G56" s="366">
        <f t="shared" ca="1" si="1"/>
        <v>36</v>
      </c>
      <c r="H56" s="367"/>
      <c r="I56" s="367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369</v>
      </c>
      <c r="AR56" s="207" t="s">
        <v>140</v>
      </c>
      <c r="AS56" s="207">
        <v>19</v>
      </c>
      <c r="AT56" s="207" t="s">
        <v>375</v>
      </c>
      <c r="AV56" s="168">
        <f t="shared" si="21"/>
        <v>12</v>
      </c>
      <c r="AW56" s="168">
        <f>COUNTIF( AV$7:AV56, AV56 )</f>
        <v>13</v>
      </c>
      <c r="AX56" s="208">
        <f t="shared" si="22"/>
        <v>13.3</v>
      </c>
      <c r="AY56" s="168">
        <f t="shared" si="23"/>
        <v>24</v>
      </c>
      <c r="AZ56" s="169"/>
      <c r="BA56" s="169"/>
      <c r="BC56" s="168">
        <f t="shared" ca="1" si="24"/>
        <v>50</v>
      </c>
      <c r="BD56" s="209">
        <f t="shared" ca="1" si="7"/>
        <v>31</v>
      </c>
      <c r="BF56" s="173" t="str">
        <f t="shared" ca="1" si="25"/>
        <v>NiSource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NI</v>
      </c>
    </row>
    <row r="57" spans="1:61" ht="13.9">
      <c r="A57" s="223" t="s">
        <v>299</v>
      </c>
      <c r="B57" s="224" t="s">
        <v>142</v>
      </c>
      <c r="C57" s="224">
        <v>17</v>
      </c>
      <c r="D57" s="224" t="s">
        <v>300</v>
      </c>
      <c r="E57" s="225" t="str">
        <f t="shared" ca="1" si="0"/>
        <v>MR</v>
      </c>
      <c r="F57" s="365"/>
      <c r="G57" s="366">
        <f t="shared" ca="1" si="1"/>
        <v>42</v>
      </c>
      <c r="H57" s="367"/>
      <c r="I57" s="367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BBB-</v>
      </c>
      <c r="AL57" s="169">
        <f t="shared" ca="1" si="20"/>
        <v>17</v>
      </c>
      <c r="AM57" s="169" t="str">
        <f t="shared" ca="1" si="5"/>
        <v/>
      </c>
      <c r="AQ57" s="207" t="s">
        <v>389</v>
      </c>
      <c r="AR57" s="207" t="s">
        <v>141</v>
      </c>
      <c r="AS57" s="207">
        <v>18</v>
      </c>
      <c r="AT57" s="207" t="s">
        <v>390</v>
      </c>
      <c r="AV57" s="168">
        <f t="shared" si="21"/>
        <v>25</v>
      </c>
      <c r="AW57" s="168">
        <f>COUNTIF( AV$7:AV57, AV57 )</f>
        <v>15</v>
      </c>
      <c r="AX57" s="208">
        <f t="shared" si="22"/>
        <v>26.5</v>
      </c>
      <c r="AY57" s="168">
        <f t="shared" si="23"/>
        <v>39</v>
      </c>
      <c r="AZ57" s="169"/>
      <c r="BA57" s="169"/>
      <c r="BC57" s="168">
        <f t="shared" ca="1" si="24"/>
        <v>51</v>
      </c>
      <c r="BD57" s="209">
        <f t="shared" ca="1" si="7"/>
        <v>37</v>
      </c>
      <c r="BF57" s="173" t="str">
        <f t="shared" ca="1" si="25"/>
        <v>Otter Tail Corporation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OTTR</v>
      </c>
    </row>
    <row r="58" spans="1:61" ht="13.9">
      <c r="A58" s="223" t="s">
        <v>411</v>
      </c>
      <c r="B58" s="224" t="s">
        <v>173</v>
      </c>
      <c r="C58" s="224">
        <v>16</v>
      </c>
      <c r="D58" s="224" t="s">
        <v>412</v>
      </c>
      <c r="E58" s="225" t="str">
        <f t="shared" ca="1" si="0"/>
        <v>R</v>
      </c>
      <c r="F58" s="365"/>
      <c r="G58" s="366">
        <f t="shared" ca="1" si="1"/>
        <v>40</v>
      </c>
      <c r="H58" s="367"/>
      <c r="I58" s="367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345</v>
      </c>
      <c r="AR58" s="207" t="s">
        <v>139</v>
      </c>
      <c r="AS58" s="207">
        <v>20</v>
      </c>
      <c r="AT58" s="207" t="s">
        <v>346</v>
      </c>
      <c r="AV58" s="168">
        <f t="shared" si="21"/>
        <v>3</v>
      </c>
      <c r="AW58" s="168">
        <f>COUNTIF( AV$7:AV58, AV58 )</f>
        <v>7</v>
      </c>
      <c r="AX58" s="208">
        <f t="shared" si="22"/>
        <v>3.7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35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3.9">
      <c r="A59" s="223" t="s">
        <v>305</v>
      </c>
      <c r="B59" s="224" t="s">
        <v>173</v>
      </c>
      <c r="C59" s="224">
        <v>16</v>
      </c>
      <c r="D59" s="224" t="s">
        <v>306</v>
      </c>
      <c r="E59" s="225" t="str">
        <f t="shared" ca="1" si="0"/>
        <v>R</v>
      </c>
      <c r="F59" s="365"/>
      <c r="G59" s="366">
        <f t="shared" ca="1" si="1"/>
        <v>68</v>
      </c>
      <c r="H59" s="367"/>
      <c r="I59" s="367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354</v>
      </c>
      <c r="AR59" s="207" t="s">
        <v>141</v>
      </c>
      <c r="AS59" s="207">
        <v>18</v>
      </c>
      <c r="AT59" s="207" t="s">
        <v>355</v>
      </c>
      <c r="AV59" s="168">
        <f t="shared" si="21"/>
        <v>25</v>
      </c>
      <c r="AW59" s="168">
        <f>COUNTIF( AV$7:AV59, AV59 )</f>
        <v>16</v>
      </c>
      <c r="AX59" s="208">
        <f t="shared" si="22"/>
        <v>26.6</v>
      </c>
      <c r="AY59" s="168">
        <f t="shared" si="23"/>
        <v>40</v>
      </c>
      <c r="AZ59" s="169"/>
      <c r="BA59" s="169"/>
      <c r="BC59" s="168">
        <f t="shared" ca="1" si="24"/>
        <v>53</v>
      </c>
      <c r="BD59" s="209">
        <f t="shared" ca="1" si="7"/>
        <v>46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3.9">
      <c r="A60" s="180" t="s">
        <v>303</v>
      </c>
      <c r="B60" s="181" t="s">
        <v>175</v>
      </c>
      <c r="C60" s="181">
        <v>15</v>
      </c>
      <c r="D60" s="181" t="s">
        <v>304</v>
      </c>
      <c r="E60" s="225" t="str">
        <f t="shared" ca="1" si="0"/>
        <v>R</v>
      </c>
      <c r="F60" s="367"/>
      <c r="G60" s="370">
        <f t="shared" ca="1" si="1"/>
        <v>46</v>
      </c>
      <c r="H60" s="367"/>
      <c r="I60" s="367"/>
      <c r="AF60" s="169">
        <f t="shared" si="2"/>
        <v>0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BB</v>
      </c>
      <c r="AL60" s="169">
        <f t="shared" ca="1" si="20"/>
        <v>15</v>
      </c>
      <c r="AM60" s="169" t="str">
        <f t="shared" ca="1" si="5"/>
        <v/>
      </c>
      <c r="AQ60" s="207" t="s">
        <v>247</v>
      </c>
      <c r="AR60" s="207" t="s">
        <v>139</v>
      </c>
      <c r="AS60" s="207">
        <v>20</v>
      </c>
      <c r="AT60" s="207" t="s">
        <v>248</v>
      </c>
      <c r="AV60" s="168">
        <f t="shared" si="21"/>
        <v>3</v>
      </c>
      <c r="AW60" s="168">
        <f>COUNTIF( AV$7:AV60, AV60 )</f>
        <v>8</v>
      </c>
      <c r="AX60" s="208">
        <f t="shared" si="22"/>
        <v>3.8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41</v>
      </c>
      <c r="BF60" s="173" t="str">
        <f t="shared" ca="1" si="25"/>
        <v>PNM Resources, Inc.</v>
      </c>
      <c r="BG60" s="173" t="str">
        <f t="shared" ca="1" si="9"/>
        <v>BB</v>
      </c>
      <c r="BH60" s="173">
        <f t="shared" ca="1" si="9"/>
        <v>15</v>
      </c>
      <c r="BI60" s="173" t="str">
        <f t="shared" ca="1" si="9"/>
        <v>PNM</v>
      </c>
    </row>
    <row r="61" spans="1:61" ht="13.9">
      <c r="A61" s="180" t="s">
        <v>371</v>
      </c>
      <c r="B61" s="181" t="s">
        <v>187</v>
      </c>
      <c r="C61" s="181">
        <v>9</v>
      </c>
      <c r="D61" s="181" t="s">
        <v>359</v>
      </c>
      <c r="E61" s="225" t="str">
        <f t="shared" ca="1" si="0"/>
        <v>D</v>
      </c>
      <c r="F61" s="367"/>
      <c r="G61" s="370">
        <f t="shared" ca="1" si="1"/>
        <v>64</v>
      </c>
      <c r="H61" s="367"/>
      <c r="I61" s="367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4"/>
        <v>62</v>
      </c>
      <c r="AK61" s="169" t="str">
        <f t="shared" ca="1" si="20"/>
        <v>CCC</v>
      </c>
      <c r="AL61" s="169">
        <f t="shared" ca="1" si="20"/>
        <v>9</v>
      </c>
      <c r="AM61" s="169" t="str">
        <f t="shared" ca="1" si="5"/>
        <v/>
      </c>
      <c r="AQ61" s="207" t="s">
        <v>251</v>
      </c>
      <c r="AR61" s="207" t="s">
        <v>139</v>
      </c>
      <c r="AS61" s="207">
        <v>20</v>
      </c>
      <c r="AT61" s="207" t="s">
        <v>252</v>
      </c>
      <c r="AV61" s="168">
        <f t="shared" si="21"/>
        <v>3</v>
      </c>
      <c r="AW61" s="168">
        <f>COUNTIF( AV$7:AV61, AV61 )</f>
        <v>9</v>
      </c>
      <c r="AX61" s="208">
        <f t="shared" si="22"/>
        <v>3.9</v>
      </c>
      <c r="AY61" s="168">
        <f t="shared" si="23"/>
        <v>11</v>
      </c>
      <c r="AZ61" s="169"/>
      <c r="BA61" s="169"/>
      <c r="BC61" s="168">
        <f t="shared" ca="1" si="24"/>
        <v>55</v>
      </c>
      <c r="BD61" s="209">
        <f t="shared" ca="1" si="7"/>
        <v>18</v>
      </c>
      <c r="BF61" s="173" t="str">
        <f t="shared" ca="1" si="25"/>
        <v>Energy Future Holdings Corp.</v>
      </c>
      <c r="BG61" s="173" t="str">
        <f t="shared" ca="1" si="9"/>
        <v>CCC</v>
      </c>
      <c r="BH61" s="173">
        <f t="shared" ca="1" si="9"/>
        <v>9</v>
      </c>
      <c r="BI61" s="173" t="str">
        <f t="shared" ca="1" si="9"/>
        <v>**EFH</v>
      </c>
    </row>
    <row r="62" spans="1:61" ht="14.45" thickBot="1">
      <c r="A62" s="192"/>
      <c r="B62" s="193"/>
      <c r="C62" s="193"/>
      <c r="D62" s="193"/>
      <c r="E62" s="194"/>
      <c r="F62" s="367"/>
      <c r="G62" s="370" t="str">
        <f t="shared" ca="1" si="1"/>
        <v/>
      </c>
      <c r="H62" s="367"/>
      <c r="I62" s="367"/>
      <c r="AF62" s="169">
        <f t="shared" si="2"/>
        <v>0</v>
      </c>
      <c r="AG62" s="169" t="str">
        <f t="shared" si="3"/>
        <v/>
      </c>
      <c r="AH62" s="169" t="str">
        <f t="shared" si="19"/>
        <v/>
      </c>
      <c r="AJ62" s="169" t="e">
        <f t="shared" ca="1" si="4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</v>
      </c>
      <c r="AX62" s="208">
        <f t="shared" si="22"/>
        <v>99.1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9">
      <c r="A63" s="226" t="s">
        <v>384</v>
      </c>
      <c r="B63" s="227" t="s">
        <v>162</v>
      </c>
      <c r="C63" s="227">
        <v>23</v>
      </c>
      <c r="D63" s="227" t="s">
        <v>309</v>
      </c>
      <c r="E63" s="228" t="str">
        <f ca="1">OFFSET( INDIRECT( E$3 &amp; E$4 ), $G63 - 1, 0 )</f>
        <v>MR</v>
      </c>
      <c r="F63" s="371"/>
      <c r="G63" s="372">
        <f t="shared" ca="1" si="1"/>
        <v>34</v>
      </c>
      <c r="H63" s="367"/>
      <c r="I63" s="367"/>
      <c r="AF63" s="169">
        <f t="shared" si="2"/>
        <v>1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AA-</v>
      </c>
      <c r="AL63" s="169">
        <f t="shared" ca="1" si="20"/>
        <v>23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2</v>
      </c>
      <c r="AX63" s="208">
        <f t="shared" si="22"/>
        <v>99.2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" ca="1" si="26">OFFSET( AR$6, $BD63, 0 )</f>
        <v>0</v>
      </c>
      <c r="BH63" s="173">
        <f t="shared" ref="BH63" ca="1" si="27">OFFSET( AS$6, $BD63, 0 )</f>
        <v>0</v>
      </c>
      <c r="BI63" s="173">
        <f t="shared" ref="BI63" ca="1" si="28">OFFSET( AT$6, $BD63, 0 )</f>
        <v>0</v>
      </c>
    </row>
    <row r="64" spans="1:61" ht="13.9">
      <c r="A64" s="223" t="s">
        <v>416</v>
      </c>
      <c r="B64" s="224" t="s">
        <v>166</v>
      </c>
      <c r="C64" s="224">
        <v>21</v>
      </c>
      <c r="D64" s="224" t="s">
        <v>417</v>
      </c>
      <c r="E64" s="225" t="str">
        <f ca="1">OFFSET( INDIRECT( E$3 &amp; E$4 ), $G64 - 1, 0 )</f>
        <v>R</v>
      </c>
      <c r="F64" s="365"/>
      <c r="G64" s="366">
        <f t="shared" ca="1" si="1"/>
        <v>15</v>
      </c>
      <c r="H64" s="367"/>
      <c r="I64" s="367"/>
      <c r="AF64" s="169">
        <f t="shared" si="2"/>
        <v>0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A</v>
      </c>
      <c r="AL64" s="169">
        <f t="shared" ca="1" si="20"/>
        <v>21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9">
      <c r="A65" s="223" t="s">
        <v>399</v>
      </c>
      <c r="B65" s="224" t="s">
        <v>173</v>
      </c>
      <c r="C65" s="224">
        <v>16</v>
      </c>
      <c r="D65" s="224" t="s">
        <v>400</v>
      </c>
      <c r="E65" s="225" t="str">
        <f ca="1">OFFSET( INDIRECT( E$3 &amp; E$4 ), $G65 - 1, 0 )</f>
        <v>R</v>
      </c>
      <c r="F65" s="365"/>
      <c r="G65" s="366">
        <f t="shared" ca="1" si="1"/>
        <v>57</v>
      </c>
      <c r="H65" s="367"/>
      <c r="I65" s="367"/>
      <c r="N65" s="168" t="s">
        <v>310</v>
      </c>
      <c r="AF65" s="169">
        <f t="shared" si="2"/>
        <v>1</v>
      </c>
      <c r="AG65" s="169" t="str">
        <f ca="1">IF( LEN( $C65 ) = 0, "", IF( $C65 &gt; $AL65, 1, "" ) )</f>
        <v/>
      </c>
      <c r="AH65" s="169" t="str">
        <f t="shared" ca="1" si="19"/>
        <v/>
      </c>
      <c r="AJ65" s="169">
        <f t="shared" ca="1" si="4"/>
        <v>65</v>
      </c>
      <c r="AK65" s="169" t="str">
        <f t="shared" ca="1" si="20"/>
        <v>BB+</v>
      </c>
      <c r="AL65" s="169">
        <f t="shared" ca="1" si="20"/>
        <v>16</v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9">
      <c r="A66" s="223" t="s">
        <v>401</v>
      </c>
      <c r="B66" s="229"/>
      <c r="C66" s="224"/>
      <c r="D66" s="224" t="s">
        <v>376</v>
      </c>
      <c r="E66" s="225" t="str">
        <f ca="1">OFFSET( INDIRECT( E$3 &amp; E$4 ), $G66 - 1, 0 )</f>
        <v>R</v>
      </c>
      <c r="F66" s="365"/>
      <c r="G66" s="366">
        <f t="shared" ca="1" si="1"/>
        <v>56</v>
      </c>
      <c r="H66" s="367"/>
      <c r="I66" s="367"/>
      <c r="AF66" s="169">
        <f t="shared" si="2"/>
        <v>0</v>
      </c>
      <c r="AG66" s="169" t="str">
        <f t="shared" ref="AG66:AG67" si="29">IF( LEN( $C66 ) = 0, "", IF( $C66 &gt; $AL66, 1, "" ) )</f>
        <v/>
      </c>
      <c r="AH66" s="169" t="str">
        <f t="shared" si="19"/>
        <v/>
      </c>
      <c r="AJ66" s="169">
        <f t="shared" ca="1" si="4"/>
        <v>67</v>
      </c>
      <c r="AK66" s="169" t="str">
        <f t="shared" ca="1" si="20"/>
        <v>N.A.</v>
      </c>
      <c r="AL66" s="169">
        <f t="shared" ca="1" si="20"/>
        <v>0</v>
      </c>
      <c r="AM66" s="169" t="str">
        <f t="shared" ca="1" si="5"/>
        <v>Change</v>
      </c>
      <c r="AQ66" s="207" t="s">
        <v>416</v>
      </c>
      <c r="AR66" s="207" t="s">
        <v>166</v>
      </c>
      <c r="AS66" s="207">
        <v>21</v>
      </c>
      <c r="AT66" s="207" t="s">
        <v>417</v>
      </c>
      <c r="AU66" s="207"/>
      <c r="AX66" s="208"/>
      <c r="AZ66" s="169"/>
      <c r="BA66" s="169"/>
      <c r="BD66" s="209"/>
      <c r="BF66" s="169"/>
    </row>
    <row r="67" spans="1:58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si="2"/>
        <v>0</v>
      </c>
      <c r="AG67" s="169" t="str">
        <f t="shared" si="29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384</v>
      </c>
      <c r="AR67" s="207" t="s">
        <v>162</v>
      </c>
      <c r="AS67" s="207">
        <v>23</v>
      </c>
      <c r="AT67" s="207" t="s">
        <v>309</v>
      </c>
      <c r="AX67" s="208"/>
      <c r="AZ67" s="169"/>
      <c r="BA67" s="169"/>
      <c r="BD67" s="209"/>
      <c r="BF67" s="169"/>
    </row>
    <row r="68" spans="1:58" ht="13.9">
      <c r="A68" s="200" t="s">
        <v>311</v>
      </c>
      <c r="B68" s="189" t="s">
        <v>141</v>
      </c>
      <c r="C68" s="201">
        <f>AVERAGE(C7:C65)</f>
        <v>18.293103448275861</v>
      </c>
      <c r="D68" s="201"/>
      <c r="E68" s="201"/>
      <c r="F68" s="367"/>
      <c r="H68" s="367"/>
      <c r="I68" s="367"/>
      <c r="J68" s="368"/>
      <c r="K68" s="368"/>
      <c r="AQ68" s="207" t="s">
        <v>399</v>
      </c>
      <c r="AR68" s="207" t="s">
        <v>173</v>
      </c>
      <c r="AS68" s="207">
        <v>16</v>
      </c>
      <c r="AT68" s="207" t="s">
        <v>400</v>
      </c>
      <c r="AX68" s="208"/>
      <c r="AZ68" s="169"/>
      <c r="BA68" s="169"/>
      <c r="BD68" s="209"/>
      <c r="BF68" s="169"/>
    </row>
    <row r="69" spans="1:58">
      <c r="A69" s="202"/>
      <c r="B69" s="202"/>
      <c r="F69" s="367"/>
      <c r="H69" s="367"/>
      <c r="I69" s="367"/>
      <c r="AQ69" s="207" t="s">
        <v>295</v>
      </c>
      <c r="AR69" s="207" t="s">
        <v>423</v>
      </c>
      <c r="AS69" s="207"/>
      <c r="AT69" s="207" t="s">
        <v>296</v>
      </c>
      <c r="AX69" s="208"/>
      <c r="AZ69" s="169"/>
      <c r="BA69" s="169"/>
      <c r="BD69" s="209"/>
      <c r="BF69" s="169"/>
    </row>
    <row r="70" spans="1:58">
      <c r="A70" s="202"/>
      <c r="B70" s="202"/>
      <c r="F70" s="173"/>
      <c r="H70" s="173"/>
      <c r="I70" s="173"/>
      <c r="J70" s="368"/>
      <c r="K70" s="368"/>
      <c r="AQ70" s="207" t="s">
        <v>424</v>
      </c>
      <c r="AR70" s="207" t="s">
        <v>423</v>
      </c>
      <c r="AS70" s="207"/>
      <c r="AT70" s="207" t="s">
        <v>425</v>
      </c>
    </row>
    <row r="71" spans="1:58">
      <c r="A71" s="203" t="s">
        <v>312</v>
      </c>
      <c r="F71" s="173"/>
      <c r="H71" s="173"/>
      <c r="I71" s="173"/>
    </row>
    <row r="72" spans="1:58">
      <c r="A72" s="203" t="s">
        <v>313</v>
      </c>
      <c r="B72" s="173"/>
      <c r="D72" s="173"/>
      <c r="E72" s="173"/>
      <c r="F72" s="204"/>
      <c r="H72" s="204"/>
      <c r="I72" s="204"/>
    </row>
    <row r="73" spans="1:58">
      <c r="A73" s="205" t="s">
        <v>419</v>
      </c>
      <c r="B73" s="173"/>
      <c r="D73" s="173"/>
      <c r="E73" s="173"/>
      <c r="F73" s="204"/>
      <c r="H73" s="204"/>
      <c r="I73" s="204"/>
    </row>
    <row r="74" spans="1:58">
      <c r="A74" s="205" t="s">
        <v>314</v>
      </c>
      <c r="B74" s="173"/>
      <c r="D74" s="173"/>
      <c r="E74" s="173"/>
      <c r="F74" s="204"/>
      <c r="H74" s="204"/>
      <c r="I74" s="204"/>
    </row>
    <row r="75" spans="1:58">
      <c r="A75" s="205" t="s">
        <v>403</v>
      </c>
      <c r="D75" s="204"/>
      <c r="F75" s="206"/>
      <c r="H75" s="206"/>
      <c r="I75" s="206"/>
    </row>
    <row r="76" spans="1:58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>
      <c r="A77" s="203"/>
      <c r="D77" s="204"/>
      <c r="F77" s="206"/>
      <c r="H77" s="206"/>
      <c r="I77" s="206"/>
      <c r="AQ77" s="207"/>
      <c r="AR77" s="207"/>
      <c r="AS77" s="207"/>
    </row>
    <row r="78" spans="1:58">
      <c r="A78" s="203"/>
      <c r="AQ78" s="207"/>
      <c r="AR78" s="207"/>
      <c r="AS78" s="207"/>
    </row>
    <row r="79" spans="1:58">
      <c r="C79" s="190">
        <f>SUMPRODUCT( L8:L13, Y8:Y13 ) / L14</f>
        <v>18.379310344827587</v>
      </c>
      <c r="E79" s="191"/>
      <c r="G79" s="370"/>
      <c r="J79" s="173"/>
      <c r="K79" s="173"/>
      <c r="AQ79" s="207"/>
      <c r="AR79" s="207"/>
      <c r="AS79" s="207"/>
    </row>
    <row r="80" spans="1:58" s="173" customFormat="1" ht="13.9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>
      <c r="AQ81" s="207"/>
      <c r="AR81" s="207"/>
      <c r="AS81" s="207"/>
    </row>
    <row r="82" spans="43:45">
      <c r="AQ82" s="207"/>
      <c r="AR82" s="207"/>
      <c r="AS82" s="207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7">
    <tabColor rgb="FF002060"/>
    <pageSetUpPr fitToPage="1"/>
  </sheetPr>
  <dimension ref="A1:AG84"/>
  <sheetViews>
    <sheetView zoomScale="85" zoomScaleNormal="85" workbookViewId="0"/>
  </sheetViews>
  <sheetFormatPr defaultColWidth="9.140625" defaultRowHeight="13.15" outlineLevelCol="1"/>
  <cols>
    <col min="1" max="1" width="35.140625" customWidth="1"/>
    <col min="4" max="4" width="9.140625" customWidth="1" outlineLevel="1"/>
    <col min="5" max="5" width="12.5703125" customWidth="1" outlineLevel="1"/>
    <col min="7" max="7" width="11.5703125" customWidth="1"/>
    <col min="11" max="11" width="11" bestFit="1" customWidth="1"/>
    <col min="12" max="12" width="4.85546875" bestFit="1" customWidth="1"/>
    <col min="17" max="26" width="9.140625" customWidth="1" outlineLevel="1"/>
    <col min="27" max="27" width="12.5703125" style="66" customWidth="1" outlineLevel="1"/>
    <col min="28" max="33" width="9.140625" customWidth="1" outlineLevel="1"/>
  </cols>
  <sheetData>
    <row r="1" spans="1:33" ht="18">
      <c r="A1" s="40" t="s">
        <v>433</v>
      </c>
    </row>
    <row r="2" spans="1:33" ht="18">
      <c r="A2" s="40"/>
    </row>
    <row r="3" spans="1:33" ht="18">
      <c r="A3" s="40"/>
    </row>
    <row r="4" spans="1:33" ht="18">
      <c r="A4" s="40"/>
    </row>
    <row r="5" spans="1:33" ht="13.9">
      <c r="E5" s="65" t="s">
        <v>434</v>
      </c>
      <c r="AA5" s="65" t="s">
        <v>434</v>
      </c>
      <c r="AF5" s="82" t="s">
        <v>435</v>
      </c>
      <c r="AG5" s="81"/>
    </row>
    <row r="6" spans="1:33" ht="13.9">
      <c r="A6" s="101" t="s">
        <v>212</v>
      </c>
      <c r="B6" s="102" t="s">
        <v>436</v>
      </c>
      <c r="C6" s="103"/>
      <c r="D6" s="103"/>
      <c r="E6" s="104">
        <v>40543</v>
      </c>
      <c r="W6" s="101" t="s">
        <v>212</v>
      </c>
      <c r="X6" s="102" t="s">
        <v>436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14.351351351351351</v>
      </c>
      <c r="AG6" s="79"/>
    </row>
    <row r="7" spans="1:33" ht="14.45" thickBot="1">
      <c r="A7" s="45" t="s">
        <v>431</v>
      </c>
      <c r="B7" s="46" t="s">
        <v>164</v>
      </c>
      <c r="C7" s="46">
        <v>22</v>
      </c>
      <c r="D7" s="46" t="s">
        <v>432</v>
      </c>
      <c r="E7" s="61">
        <f>VLOOKUP($D7,$Q$7:$R$68,2,0)</f>
        <v>1</v>
      </c>
      <c r="F7" s="373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113" t="s">
        <v>437</v>
      </c>
      <c r="X7" s="114" t="s">
        <v>139</v>
      </c>
      <c r="Y7" s="114">
        <v>16</v>
      </c>
      <c r="Z7" s="114" t="s">
        <v>438</v>
      </c>
      <c r="AA7" s="115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9">
      <c r="A8" s="37" t="s">
        <v>293</v>
      </c>
      <c r="B8" s="44" t="s">
        <v>166</v>
      </c>
      <c r="C8" s="44">
        <v>21</v>
      </c>
      <c r="D8" s="44" t="s">
        <v>294</v>
      </c>
      <c r="E8" s="60">
        <f t="shared" ref="E8:E13" si="0">VLOOKUP($D8,$Q$7:$R$68,2,0)</f>
        <v>0.92936836749527552</v>
      </c>
      <c r="F8" s="373"/>
      <c r="G8" s="37" t="s">
        <v>137</v>
      </c>
      <c r="H8" s="49">
        <f>COUNTIF(C$7:C$67,"&gt;20")</f>
        <v>4</v>
      </c>
      <c r="I8" s="50">
        <f>H8/H$14</f>
        <v>6.7796610169491525E-2</v>
      </c>
      <c r="K8" s="122"/>
      <c r="M8" s="122"/>
      <c r="N8" s="122"/>
      <c r="O8" s="122"/>
      <c r="Q8" s="93" t="s">
        <v>223</v>
      </c>
      <c r="R8" s="94">
        <v>0.96680210088197405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69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9">
      <c r="A9" s="45" t="s">
        <v>227</v>
      </c>
      <c r="B9" s="46" t="s">
        <v>139</v>
      </c>
      <c r="C9" s="46">
        <v>20</v>
      </c>
      <c r="D9" s="46" t="s">
        <v>228</v>
      </c>
      <c r="E9" s="61">
        <f t="shared" si="0"/>
        <v>0.89318320146074259</v>
      </c>
      <c r="F9" s="373"/>
      <c r="G9" s="37" t="s">
        <v>139</v>
      </c>
      <c r="H9" s="49">
        <f>COUNTIF(C$7:C$67,"=20")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9" t="s">
        <v>423</v>
      </c>
      <c r="AC9" s="37" t="s">
        <v>139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3.9">
      <c r="A10" s="45" t="s">
        <v>361</v>
      </c>
      <c r="B10" s="46" t="s">
        <v>139</v>
      </c>
      <c r="C10" s="46">
        <v>20</v>
      </c>
      <c r="D10" s="46" t="s">
        <v>194</v>
      </c>
      <c r="E10" s="61">
        <f t="shared" si="0"/>
        <v>0.63157463237392464</v>
      </c>
      <c r="F10" s="373"/>
      <c r="G10" s="37" t="s">
        <v>140</v>
      </c>
      <c r="H10" s="49">
        <f>COUNTIF(C$7:C$67,"=19")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9" t="s">
        <v>423</v>
      </c>
      <c r="AC10" s="37" t="s">
        <v>140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3.9">
      <c r="A11" s="45" t="s">
        <v>263</v>
      </c>
      <c r="B11" s="46" t="s">
        <v>139</v>
      </c>
      <c r="C11" s="46">
        <v>20</v>
      </c>
      <c r="D11" s="46" t="s">
        <v>264</v>
      </c>
      <c r="E11" s="61">
        <f t="shared" si="0"/>
        <v>0.76510407852428497</v>
      </c>
      <c r="F11" s="373"/>
      <c r="G11" s="37" t="s">
        <v>141</v>
      </c>
      <c r="H11" s="49">
        <f>COUNTIF(C$7:C$67,"=18")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239</v>
      </c>
      <c r="R11" s="94">
        <v>0.91095138568993894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69" t="s">
        <v>423</v>
      </c>
      <c r="AC11" s="37" t="s">
        <v>141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3.9">
      <c r="A12" s="45" t="s">
        <v>387</v>
      </c>
      <c r="B12" s="46" t="s">
        <v>139</v>
      </c>
      <c r="C12" s="46">
        <v>20</v>
      </c>
      <c r="D12" s="46" t="s">
        <v>388</v>
      </c>
      <c r="E12" s="61">
        <f t="shared" si="0"/>
        <v>0.96341849943457658</v>
      </c>
      <c r="F12" s="373"/>
      <c r="G12" s="37" t="s">
        <v>142</v>
      </c>
      <c r="H12" s="49">
        <f>COUNTIF(C$7:C$67,"=17")</f>
        <v>12</v>
      </c>
      <c r="I12" s="50">
        <f t="shared" si="1"/>
        <v>0.20338983050847459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9" t="s">
        <v>423</v>
      </c>
      <c r="AC12" s="37" t="s">
        <v>142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4.45" thickBot="1">
      <c r="A13" s="45" t="s">
        <v>240</v>
      </c>
      <c r="B13" s="46" t="s">
        <v>139</v>
      </c>
      <c r="C13" s="46">
        <v>20</v>
      </c>
      <c r="D13" s="46" t="s">
        <v>241</v>
      </c>
      <c r="E13" s="61">
        <f t="shared" si="0"/>
        <v>0.541533003736272</v>
      </c>
      <c r="F13" s="373"/>
      <c r="G13" s="53" t="s">
        <v>143</v>
      </c>
      <c r="H13" s="55">
        <f>COUNTIF(C$7:C$67,"&lt;17")</f>
        <v>5</v>
      </c>
      <c r="I13" s="56">
        <f t="shared" si="1"/>
        <v>8.4745762711864403E-2</v>
      </c>
      <c r="Q13" s="93" t="s">
        <v>246</v>
      </c>
      <c r="R13" s="94">
        <v>0.68875112521618576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69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9">
      <c r="A14" s="45" t="s">
        <v>345</v>
      </c>
      <c r="B14" s="46" t="s">
        <v>139</v>
      </c>
      <c r="C14" s="46">
        <v>20</v>
      </c>
      <c r="D14" s="46" t="s">
        <v>346</v>
      </c>
      <c r="E14" s="61">
        <f t="shared" ref="E14:E45" si="3">VLOOKUP($D14,$Q$7:$R$68,2,0)</f>
        <v>0.975461842272901</v>
      </c>
      <c r="F14" s="373"/>
      <c r="G14" s="41" t="s">
        <v>144</v>
      </c>
      <c r="H14" s="51">
        <f>SUM(H8:H13)</f>
        <v>59</v>
      </c>
      <c r="I14" s="52">
        <f t="shared" si="1"/>
        <v>1</v>
      </c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9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9">
      <c r="A15" s="45" t="s">
        <v>247</v>
      </c>
      <c r="B15" s="46" t="s">
        <v>139</v>
      </c>
      <c r="C15" s="46">
        <v>20</v>
      </c>
      <c r="D15" s="46" t="s">
        <v>248</v>
      </c>
      <c r="E15" s="61">
        <f t="shared" si="3"/>
        <v>0.91865112788863534</v>
      </c>
      <c r="F15" s="373"/>
      <c r="K15" s="5"/>
      <c r="Q15" s="93" t="s">
        <v>452</v>
      </c>
      <c r="R15" s="94">
        <v>0.33305692234682915</v>
      </c>
      <c r="S15" s="93" t="s">
        <v>194</v>
      </c>
      <c r="W15" s="37" t="s">
        <v>431</v>
      </c>
      <c r="X15" s="44" t="s">
        <v>164</v>
      </c>
      <c r="Y15" s="44">
        <v>18</v>
      </c>
      <c r="Z15" s="44" t="s">
        <v>432</v>
      </c>
      <c r="AA15" s="69">
        <v>1</v>
      </c>
      <c r="AG15" s="80"/>
    </row>
    <row r="16" spans="1:33" ht="13.9">
      <c r="A16" s="45" t="s">
        <v>251</v>
      </c>
      <c r="B16" s="46" t="s">
        <v>139</v>
      </c>
      <c r="C16" s="46">
        <v>20</v>
      </c>
      <c r="D16" s="46" t="s">
        <v>252</v>
      </c>
      <c r="E16" s="61">
        <f t="shared" si="3"/>
        <v>0.94700000000000006</v>
      </c>
      <c r="F16" s="373"/>
      <c r="K16" s="5"/>
      <c r="Q16" s="93" t="s">
        <v>453</v>
      </c>
      <c r="R16" s="94">
        <v>0.89001113183270453</v>
      </c>
      <c r="S16" s="93" t="s">
        <v>203</v>
      </c>
      <c r="W16" s="37" t="s">
        <v>328</v>
      </c>
      <c r="X16" s="44" t="s">
        <v>141</v>
      </c>
      <c r="Y16" s="44">
        <v>14</v>
      </c>
      <c r="Z16" s="44" t="s">
        <v>331</v>
      </c>
      <c r="AA16" s="69">
        <v>1</v>
      </c>
      <c r="AG16" s="80"/>
    </row>
    <row r="17" spans="1:33" ht="13.9">
      <c r="A17" s="37" t="s">
        <v>217</v>
      </c>
      <c r="B17" s="44" t="s">
        <v>140</v>
      </c>
      <c r="C17" s="44">
        <v>19</v>
      </c>
      <c r="D17" s="44" t="s">
        <v>218</v>
      </c>
      <c r="E17" s="60">
        <f t="shared" si="3"/>
        <v>0.91042888352305396</v>
      </c>
      <c r="F17" s="373"/>
      <c r="K17" s="5"/>
      <c r="Q17" s="93" t="s">
        <v>257</v>
      </c>
      <c r="R17" s="94">
        <v>0.89235399590163933</v>
      </c>
      <c r="S17" s="93" t="s">
        <v>203</v>
      </c>
      <c r="W17" s="37" t="s">
        <v>285</v>
      </c>
      <c r="X17" s="44" t="s">
        <v>141</v>
      </c>
      <c r="Y17" s="44">
        <v>14</v>
      </c>
      <c r="Z17" s="44" t="s">
        <v>286</v>
      </c>
      <c r="AA17" s="69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5" thickBot="1">
      <c r="A18" s="37" t="s">
        <v>219</v>
      </c>
      <c r="B18" s="44" t="s">
        <v>140</v>
      </c>
      <c r="C18" s="44">
        <v>19</v>
      </c>
      <c r="D18" s="44" t="s">
        <v>220</v>
      </c>
      <c r="E18" s="60">
        <f t="shared" si="3"/>
        <v>0.86662573118314323</v>
      </c>
      <c r="F18" s="373"/>
      <c r="K18" s="5"/>
      <c r="Q18" s="93" t="s">
        <v>378</v>
      </c>
      <c r="R18" s="94">
        <v>0.91199977892108686</v>
      </c>
      <c r="S18" s="93" t="s">
        <v>203</v>
      </c>
      <c r="W18" s="37" t="s">
        <v>354</v>
      </c>
      <c r="X18" s="44" t="s">
        <v>141</v>
      </c>
      <c r="Y18" s="44">
        <v>14</v>
      </c>
      <c r="Z18" s="44" t="s">
        <v>355</v>
      </c>
      <c r="AA18" s="69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9">
      <c r="A19" s="119" t="s">
        <v>249</v>
      </c>
      <c r="B19" s="120" t="s">
        <v>140</v>
      </c>
      <c r="C19" s="120">
        <v>19</v>
      </c>
      <c r="D19" s="120" t="s">
        <v>250</v>
      </c>
      <c r="E19" s="121">
        <f t="shared" si="3"/>
        <v>0.71562826313957539</v>
      </c>
      <c r="F19" s="373"/>
      <c r="K19" s="5"/>
      <c r="Q19" s="93" t="s">
        <v>250</v>
      </c>
      <c r="R19" s="94">
        <v>0.71562826313957539</v>
      </c>
      <c r="S19" s="93" t="s">
        <v>204</v>
      </c>
      <c r="W19" s="37" t="s">
        <v>259</v>
      </c>
      <c r="X19" s="44" t="s">
        <v>142</v>
      </c>
      <c r="Y19" s="44">
        <v>13</v>
      </c>
      <c r="Z19" s="44" t="s">
        <v>454</v>
      </c>
      <c r="AA19" s="69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9">
      <c r="A20" s="37" t="s">
        <v>261</v>
      </c>
      <c r="B20" s="44" t="s">
        <v>140</v>
      </c>
      <c r="C20" s="44">
        <v>19</v>
      </c>
      <c r="D20" s="44" t="s">
        <v>262</v>
      </c>
      <c r="E20" s="69">
        <f t="shared" si="3"/>
        <v>0.81254016709511567</v>
      </c>
      <c r="F20" s="373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9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9">
      <c r="A21" s="37" t="s">
        <v>395</v>
      </c>
      <c r="B21" s="44" t="s">
        <v>140</v>
      </c>
      <c r="C21" s="44">
        <v>19</v>
      </c>
      <c r="D21" s="44" t="s">
        <v>396</v>
      </c>
      <c r="E21" s="60">
        <f t="shared" si="3"/>
        <v>0.83267459864721705</v>
      </c>
      <c r="F21" s="373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141</v>
      </c>
      <c r="Y21" s="44">
        <v>14</v>
      </c>
      <c r="Z21" s="44" t="s">
        <v>302</v>
      </c>
      <c r="AA21" s="69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9">
      <c r="A22" s="37" t="s">
        <v>271</v>
      </c>
      <c r="B22" s="44" t="s">
        <v>140</v>
      </c>
      <c r="C22" s="44">
        <v>19</v>
      </c>
      <c r="D22" s="44" t="s">
        <v>272</v>
      </c>
      <c r="E22" s="60">
        <f t="shared" si="3"/>
        <v>0.36101059894989318</v>
      </c>
      <c r="F22" s="373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9">
      <c r="A23" s="37" t="s">
        <v>408</v>
      </c>
      <c r="B23" s="44" t="s">
        <v>140</v>
      </c>
      <c r="C23" s="44">
        <v>19</v>
      </c>
      <c r="D23" s="44" t="s">
        <v>451</v>
      </c>
      <c r="E23" s="60">
        <f t="shared" si="3"/>
        <v>0.76017780502759058</v>
      </c>
      <c r="F23" s="373"/>
      <c r="Q23" s="93" t="s">
        <v>262</v>
      </c>
      <c r="R23" s="94">
        <v>0.81254016709511567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69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5" thickBot="1">
      <c r="A24" s="37" t="s">
        <v>394</v>
      </c>
      <c r="B24" s="44" t="s">
        <v>140</v>
      </c>
      <c r="C24" s="44">
        <v>19</v>
      </c>
      <c r="D24" s="44" t="s">
        <v>236</v>
      </c>
      <c r="E24" s="69">
        <f t="shared" si="3"/>
        <v>0.95294725244456668</v>
      </c>
      <c r="F24" s="373"/>
      <c r="Q24" s="93" t="s">
        <v>264</v>
      </c>
      <c r="R24" s="94">
        <v>0.76510407852428497</v>
      </c>
      <c r="S24" s="93" t="s">
        <v>204</v>
      </c>
      <c r="W24" s="37" t="s">
        <v>411</v>
      </c>
      <c r="X24" s="44" t="s">
        <v>173</v>
      </c>
      <c r="Y24" s="44">
        <v>12</v>
      </c>
      <c r="Z24" s="44" t="s">
        <v>412</v>
      </c>
      <c r="AA24" s="69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9">
      <c r="A25" s="37" t="s">
        <v>277</v>
      </c>
      <c r="B25" s="44" t="s">
        <v>140</v>
      </c>
      <c r="C25" s="44">
        <v>19</v>
      </c>
      <c r="D25" s="44" t="s">
        <v>278</v>
      </c>
      <c r="E25" s="60">
        <f t="shared" si="3"/>
        <v>0.76907329412838532</v>
      </c>
      <c r="F25" s="373"/>
      <c r="Q25" s="93" t="s">
        <v>455</v>
      </c>
      <c r="R25" s="94">
        <v>0.96341849943457658</v>
      </c>
      <c r="S25" s="93" t="s">
        <v>203</v>
      </c>
      <c r="W25" s="37" t="s">
        <v>305</v>
      </c>
      <c r="X25" s="44" t="s">
        <v>173</v>
      </c>
      <c r="Y25" s="44">
        <v>12</v>
      </c>
      <c r="Z25" s="44" t="s">
        <v>456</v>
      </c>
      <c r="AA25" s="69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9">
      <c r="A26" s="37" t="s">
        <v>382</v>
      </c>
      <c r="B26" s="44" t="s">
        <v>140</v>
      </c>
      <c r="C26" s="44">
        <v>19</v>
      </c>
      <c r="D26" s="44" t="s">
        <v>383</v>
      </c>
      <c r="E26" s="69">
        <f t="shared" si="3"/>
        <v>0.73349447513812149</v>
      </c>
      <c r="F26" s="373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141</v>
      </c>
      <c r="Y26" s="44">
        <v>14</v>
      </c>
      <c r="Z26" s="44" t="s">
        <v>282</v>
      </c>
      <c r="AA26" s="69">
        <v>0.99126425624848336</v>
      </c>
      <c r="AG26" s="80"/>
    </row>
    <row r="27" spans="1:33" ht="13.9">
      <c r="A27" s="37" t="s">
        <v>427</v>
      </c>
      <c r="B27" s="44" t="s">
        <v>140</v>
      </c>
      <c r="C27" s="44">
        <v>19</v>
      </c>
      <c r="D27" s="44" t="s">
        <v>428</v>
      </c>
      <c r="E27" s="60">
        <f t="shared" si="3"/>
        <v>0.85816623707026407</v>
      </c>
      <c r="F27" s="373"/>
      <c r="Q27" s="93" t="s">
        <v>368</v>
      </c>
      <c r="R27" s="94">
        <v>1.0292149475019923</v>
      </c>
      <c r="S27" s="93" t="s">
        <v>203</v>
      </c>
      <c r="W27" s="37" t="s">
        <v>389</v>
      </c>
      <c r="X27" s="44" t="s">
        <v>141</v>
      </c>
      <c r="Y27" s="44">
        <v>14</v>
      </c>
      <c r="Z27" s="44" t="s">
        <v>390</v>
      </c>
      <c r="AA27" s="69">
        <v>0.98872477714287255</v>
      </c>
      <c r="AG27" s="80"/>
    </row>
    <row r="28" spans="1:33" ht="13.9">
      <c r="A28" s="37" t="s">
        <v>347</v>
      </c>
      <c r="B28" s="44" t="s">
        <v>140</v>
      </c>
      <c r="C28" s="44">
        <v>19</v>
      </c>
      <c r="D28" s="44" t="s">
        <v>348</v>
      </c>
      <c r="E28" s="60">
        <f t="shared" si="3"/>
        <v>0.77444478716841458</v>
      </c>
      <c r="F28" s="373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11.5</v>
      </c>
      <c r="AG28" s="79"/>
    </row>
    <row r="29" spans="1:33" ht="14.45" thickBot="1">
      <c r="A29" s="37" t="s">
        <v>291</v>
      </c>
      <c r="B29" s="44" t="s">
        <v>140</v>
      </c>
      <c r="C29" s="44">
        <v>19</v>
      </c>
      <c r="D29" s="44" t="s">
        <v>292</v>
      </c>
      <c r="E29" s="60">
        <f t="shared" si="3"/>
        <v>0.66251692368655679</v>
      </c>
      <c r="F29" s="373"/>
      <c r="Q29" s="93" t="s">
        <v>457</v>
      </c>
      <c r="R29" s="94">
        <v>0.11951366732775717</v>
      </c>
      <c r="S29" s="93" t="s">
        <v>194</v>
      </c>
      <c r="W29" s="37" t="s">
        <v>283</v>
      </c>
      <c r="X29" s="44" t="s">
        <v>141</v>
      </c>
      <c r="Y29" s="44">
        <v>14</v>
      </c>
      <c r="Z29" s="44" t="s">
        <v>284</v>
      </c>
      <c r="AA29" s="69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9">
      <c r="A30" s="37" t="s">
        <v>369</v>
      </c>
      <c r="B30" s="44" t="s">
        <v>140</v>
      </c>
      <c r="C30" s="44">
        <v>19</v>
      </c>
      <c r="D30" s="44" t="s">
        <v>375</v>
      </c>
      <c r="E30" s="69">
        <f t="shared" si="3"/>
        <v>0.93843994106691131</v>
      </c>
      <c r="F30" s="373"/>
      <c r="Q30" s="93" t="s">
        <v>266</v>
      </c>
      <c r="R30" s="94">
        <v>0.7886228860092247</v>
      </c>
      <c r="S30" s="93" t="s">
        <v>204</v>
      </c>
      <c r="W30" s="37" t="s">
        <v>345</v>
      </c>
      <c r="X30" s="44" t="s">
        <v>139</v>
      </c>
      <c r="Y30" s="44">
        <v>16</v>
      </c>
      <c r="Z30" s="44" t="s">
        <v>346</v>
      </c>
      <c r="AA30" s="69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9">
      <c r="A31" s="45" t="s">
        <v>222</v>
      </c>
      <c r="B31" s="46" t="s">
        <v>141</v>
      </c>
      <c r="C31" s="46">
        <v>18</v>
      </c>
      <c r="D31" s="46" t="s">
        <v>223</v>
      </c>
      <c r="E31" s="61">
        <f t="shared" si="3"/>
        <v>0.96680210088197405</v>
      </c>
      <c r="F31" s="373"/>
      <c r="K31" s="122"/>
      <c r="L31" s="122"/>
      <c r="Q31" s="93" t="s">
        <v>268</v>
      </c>
      <c r="R31" s="94">
        <v>0.80341264723043471</v>
      </c>
      <c r="S31" s="93" t="s">
        <v>203</v>
      </c>
      <c r="W31" s="37" t="s">
        <v>458</v>
      </c>
      <c r="X31" s="44" t="s">
        <v>173</v>
      </c>
      <c r="Y31" s="44">
        <v>12</v>
      </c>
      <c r="Z31" s="44" t="s">
        <v>459</v>
      </c>
      <c r="AA31" s="69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9">
      <c r="A32" s="45" t="s">
        <v>238</v>
      </c>
      <c r="B32" s="46" t="s">
        <v>141</v>
      </c>
      <c r="C32" s="46">
        <v>18</v>
      </c>
      <c r="D32" s="46" t="s">
        <v>239</v>
      </c>
      <c r="E32" s="61">
        <f t="shared" si="3"/>
        <v>0.91095138568993894</v>
      </c>
      <c r="F32" s="373"/>
      <c r="L32" s="122"/>
      <c r="Q32" s="93" t="s">
        <v>270</v>
      </c>
      <c r="R32" s="94">
        <v>0.58646630934150079</v>
      </c>
      <c r="S32" s="93" t="s">
        <v>204</v>
      </c>
      <c r="W32" s="37" t="s">
        <v>222</v>
      </c>
      <c r="X32" s="44" t="s">
        <v>141</v>
      </c>
      <c r="Y32" s="44">
        <v>14</v>
      </c>
      <c r="Z32" s="44" t="s">
        <v>223</v>
      </c>
      <c r="AA32" s="69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9">
      <c r="A33" s="45" t="s">
        <v>254</v>
      </c>
      <c r="B33" s="46" t="s">
        <v>141</v>
      </c>
      <c r="C33" s="46">
        <v>18</v>
      </c>
      <c r="D33" s="46" t="s">
        <v>378</v>
      </c>
      <c r="E33" s="61">
        <f t="shared" si="3"/>
        <v>0.91199977892108686</v>
      </c>
      <c r="F33" s="373"/>
      <c r="L33" s="122"/>
      <c r="Q33" s="93" t="s">
        <v>276</v>
      </c>
      <c r="R33" s="94">
        <v>0.64970550208303401</v>
      </c>
      <c r="S33" s="93" t="s">
        <v>204</v>
      </c>
      <c r="W33" s="37" t="s">
        <v>460</v>
      </c>
      <c r="X33" s="44" t="s">
        <v>139</v>
      </c>
      <c r="Y33" s="44">
        <v>16</v>
      </c>
      <c r="Z33" s="44" t="s">
        <v>455</v>
      </c>
      <c r="AA33" s="69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9">
      <c r="A34" s="45" t="s">
        <v>328</v>
      </c>
      <c r="B34" s="46" t="s">
        <v>141</v>
      </c>
      <c r="C34" s="46">
        <v>18</v>
      </c>
      <c r="D34" s="46" t="s">
        <v>331</v>
      </c>
      <c r="E34" s="61">
        <f t="shared" si="3"/>
        <v>1</v>
      </c>
      <c r="F34" s="373"/>
      <c r="L34" s="122"/>
      <c r="Q34" s="93" t="s">
        <v>353</v>
      </c>
      <c r="R34" s="94">
        <v>1.0379329114785329</v>
      </c>
      <c r="S34" s="93" t="s">
        <v>203</v>
      </c>
      <c r="W34" s="37" t="s">
        <v>394</v>
      </c>
      <c r="X34" s="44" t="s">
        <v>140</v>
      </c>
      <c r="Y34" s="44">
        <v>15</v>
      </c>
      <c r="Z34" s="44" t="s">
        <v>236</v>
      </c>
      <c r="AA34" s="69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5" thickBot="1">
      <c r="A35" s="45" t="s">
        <v>267</v>
      </c>
      <c r="B35" s="46" t="s">
        <v>141</v>
      </c>
      <c r="C35" s="46">
        <v>18</v>
      </c>
      <c r="D35" s="46" t="s">
        <v>268</v>
      </c>
      <c r="E35" s="61">
        <f t="shared" si="3"/>
        <v>0.80341264723043471</v>
      </c>
      <c r="F35" s="373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37" t="s">
        <v>251</v>
      </c>
      <c r="X35" s="44" t="s">
        <v>139</v>
      </c>
      <c r="Y35" s="44">
        <v>16</v>
      </c>
      <c r="Z35" s="44" t="s">
        <v>252</v>
      </c>
      <c r="AA35" s="69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9">
      <c r="A36" s="45" t="s">
        <v>269</v>
      </c>
      <c r="B36" s="46" t="s">
        <v>141</v>
      </c>
      <c r="C36" s="46">
        <v>18</v>
      </c>
      <c r="D36" s="46" t="s">
        <v>270</v>
      </c>
      <c r="E36" s="61">
        <f t="shared" si="3"/>
        <v>0.58646630934150079</v>
      </c>
      <c r="F36" s="373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37" t="s">
        <v>369</v>
      </c>
      <c r="X36" s="44" t="s">
        <v>140</v>
      </c>
      <c r="Y36" s="44">
        <v>15</v>
      </c>
      <c r="Z36" s="44" t="s">
        <v>375</v>
      </c>
      <c r="AA36" s="69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9">
      <c r="A37" s="45" t="s">
        <v>352</v>
      </c>
      <c r="B37" s="46" t="s">
        <v>141</v>
      </c>
      <c r="C37" s="46">
        <v>18</v>
      </c>
      <c r="D37" s="46" t="s">
        <v>353</v>
      </c>
      <c r="E37" s="61">
        <f t="shared" si="3"/>
        <v>1.0379329114785329</v>
      </c>
      <c r="F37" s="373"/>
      <c r="H37" s="5"/>
      <c r="J37" s="7"/>
      <c r="Q37" s="93" t="s">
        <v>220</v>
      </c>
      <c r="R37" s="94">
        <v>0.86662573118314323</v>
      </c>
      <c r="S37" s="93" t="s">
        <v>203</v>
      </c>
      <c r="W37" s="37" t="s">
        <v>303</v>
      </c>
      <c r="X37" s="44" t="s">
        <v>175</v>
      </c>
      <c r="Y37" s="44">
        <v>11</v>
      </c>
      <c r="Z37" s="44" t="s">
        <v>304</v>
      </c>
      <c r="AA37" s="69">
        <v>0.93520619672453054</v>
      </c>
    </row>
    <row r="38" spans="1:31" ht="13.9">
      <c r="A38" s="45" t="s">
        <v>283</v>
      </c>
      <c r="B38" s="46" t="s">
        <v>141</v>
      </c>
      <c r="C38" s="46">
        <v>18</v>
      </c>
      <c r="D38" s="46" t="s">
        <v>284</v>
      </c>
      <c r="E38" s="61">
        <f t="shared" si="3"/>
        <v>0.97697589100213744</v>
      </c>
      <c r="F38" s="373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9">
        <v>0.92936836749527552</v>
      </c>
    </row>
    <row r="39" spans="1:31" ht="13.9">
      <c r="A39" s="45" t="s">
        <v>297</v>
      </c>
      <c r="B39" s="46" t="s">
        <v>141</v>
      </c>
      <c r="C39" s="46">
        <v>18</v>
      </c>
      <c r="D39" s="46" t="s">
        <v>298</v>
      </c>
      <c r="E39" s="61">
        <f t="shared" si="3"/>
        <v>0.99569209153466032</v>
      </c>
      <c r="F39" s="373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139</v>
      </c>
      <c r="Y39" s="44">
        <v>16</v>
      </c>
      <c r="Z39" s="44" t="s">
        <v>248</v>
      </c>
      <c r="AA39" s="69">
        <v>0.91865112788863534</v>
      </c>
    </row>
    <row r="40" spans="1:31" ht="13.9">
      <c r="A40" s="116" t="s">
        <v>301</v>
      </c>
      <c r="B40" s="117" t="s">
        <v>141</v>
      </c>
      <c r="C40" s="117">
        <v>18</v>
      </c>
      <c r="D40" s="117" t="s">
        <v>302</v>
      </c>
      <c r="E40" s="118">
        <f t="shared" si="3"/>
        <v>0.99967409016838671</v>
      </c>
      <c r="F40" s="373"/>
      <c r="H40" s="5"/>
      <c r="J40" s="8"/>
      <c r="Q40" s="93" t="s">
        <v>241</v>
      </c>
      <c r="R40" s="94">
        <v>0.541533003736272</v>
      </c>
      <c r="S40" s="93" t="s">
        <v>204</v>
      </c>
      <c r="W40" s="37" t="s">
        <v>254</v>
      </c>
      <c r="X40" s="44" t="s">
        <v>141</v>
      </c>
      <c r="Y40" s="44">
        <v>14</v>
      </c>
      <c r="Z40" s="44" t="s">
        <v>378</v>
      </c>
      <c r="AA40" s="69">
        <v>0.91199977892108686</v>
      </c>
    </row>
    <row r="41" spans="1:31" ht="13.9">
      <c r="A41" s="45" t="s">
        <v>281</v>
      </c>
      <c r="B41" s="46" t="s">
        <v>141</v>
      </c>
      <c r="C41" s="46">
        <v>18</v>
      </c>
      <c r="D41" s="46" t="s">
        <v>282</v>
      </c>
      <c r="E41" s="61">
        <f t="shared" si="3"/>
        <v>0.99126425624848336</v>
      </c>
      <c r="F41" s="373"/>
      <c r="H41" s="5"/>
      <c r="J41" s="8"/>
      <c r="Q41" s="93" t="s">
        <v>274</v>
      </c>
      <c r="R41" s="94">
        <v>0.57845507252191697</v>
      </c>
      <c r="S41" s="93" t="s">
        <v>204</v>
      </c>
      <c r="W41" s="37" t="s">
        <v>238</v>
      </c>
      <c r="X41" s="44" t="s">
        <v>141</v>
      </c>
      <c r="Y41" s="44">
        <v>14</v>
      </c>
      <c r="Z41" s="44" t="s">
        <v>239</v>
      </c>
      <c r="AA41" s="69">
        <v>0.91095138568993894</v>
      </c>
    </row>
    <row r="42" spans="1:31" ht="13.9">
      <c r="A42" s="45" t="s">
        <v>285</v>
      </c>
      <c r="B42" s="46" t="s">
        <v>141</v>
      </c>
      <c r="C42" s="46">
        <v>18</v>
      </c>
      <c r="D42" s="46" t="s">
        <v>286</v>
      </c>
      <c r="E42" s="61">
        <f t="shared" si="3"/>
        <v>1</v>
      </c>
      <c r="F42" s="373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9">
        <v>0.91042888352305396</v>
      </c>
    </row>
    <row r="43" spans="1:31" ht="13.9">
      <c r="A43" s="45" t="s">
        <v>243</v>
      </c>
      <c r="B43" s="46" t="s">
        <v>141</v>
      </c>
      <c r="C43" s="46">
        <v>18</v>
      </c>
      <c r="D43" s="46" t="s">
        <v>244</v>
      </c>
      <c r="E43" s="61">
        <f>VLOOKUP($D43,$Q$7:$R$68,2,0)</f>
        <v>0.61841824770837783</v>
      </c>
      <c r="F43" s="373"/>
      <c r="Q43" s="93" t="s">
        <v>236</v>
      </c>
      <c r="R43" s="94">
        <v>0.95294725244456668</v>
      </c>
      <c r="S43" s="93" t="s">
        <v>203</v>
      </c>
      <c r="W43" s="37" t="s">
        <v>227</v>
      </c>
      <c r="X43" s="44" t="s">
        <v>139</v>
      </c>
      <c r="Y43" s="44">
        <v>16</v>
      </c>
      <c r="Z43" s="44" t="s">
        <v>228</v>
      </c>
      <c r="AA43" s="69">
        <v>0.89318320146074259</v>
      </c>
    </row>
    <row r="44" spans="1:31" ht="13.9">
      <c r="A44" s="45" t="s">
        <v>289</v>
      </c>
      <c r="B44" s="46" t="s">
        <v>141</v>
      </c>
      <c r="C44" s="46">
        <v>18</v>
      </c>
      <c r="D44" s="46" t="s">
        <v>290</v>
      </c>
      <c r="E44" s="61">
        <f t="shared" si="3"/>
        <v>0.5641445718679996</v>
      </c>
      <c r="F44" s="373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9">
        <v>0.89235399590163933</v>
      </c>
    </row>
    <row r="45" spans="1:31" ht="13.9">
      <c r="A45" s="45" t="s">
        <v>389</v>
      </c>
      <c r="B45" s="46" t="s">
        <v>141</v>
      </c>
      <c r="C45" s="46">
        <v>18</v>
      </c>
      <c r="D45" s="46" t="s">
        <v>390</v>
      </c>
      <c r="E45" s="61">
        <f t="shared" si="3"/>
        <v>0.98872477714287255</v>
      </c>
      <c r="F45" s="373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9">
        <v>0.89001113183270453</v>
      </c>
    </row>
    <row r="46" spans="1:31" ht="13.9">
      <c r="A46" s="45" t="s">
        <v>354</v>
      </c>
      <c r="B46" s="46" t="s">
        <v>141</v>
      </c>
      <c r="C46" s="46">
        <v>18</v>
      </c>
      <c r="D46" s="46" t="s">
        <v>355</v>
      </c>
      <c r="E46" s="61">
        <f t="shared" ref="E46:E67" si="6">VLOOKUP($D46,$Q$7:$R$68,2,0)</f>
        <v>1</v>
      </c>
      <c r="F46" s="373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9">
        <v>0.86662573118314323</v>
      </c>
    </row>
    <row r="47" spans="1:31" ht="13.9">
      <c r="A47" s="37" t="s">
        <v>225</v>
      </c>
      <c r="B47" s="44" t="s">
        <v>142</v>
      </c>
      <c r="C47" s="44">
        <v>17</v>
      </c>
      <c r="D47" s="44" t="s">
        <v>226</v>
      </c>
      <c r="E47" s="60">
        <f t="shared" si="6"/>
        <v>0.84669359982989578</v>
      </c>
      <c r="F47" s="373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9">
        <v>0.85816623707026407</v>
      </c>
    </row>
    <row r="48" spans="1:31" ht="13.9">
      <c r="A48" s="37" t="s">
        <v>245</v>
      </c>
      <c r="B48" s="44" t="s">
        <v>142</v>
      </c>
      <c r="C48" s="44">
        <v>17</v>
      </c>
      <c r="D48" s="44" t="s">
        <v>246</v>
      </c>
      <c r="E48" s="60">
        <f t="shared" si="6"/>
        <v>0.68875112521618576</v>
      </c>
      <c r="F48" s="373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9">
        <v>0.84669359982989578</v>
      </c>
    </row>
    <row r="49" spans="1:27" ht="13.9">
      <c r="A49" s="37" t="s">
        <v>256</v>
      </c>
      <c r="B49" s="44" t="s">
        <v>142</v>
      </c>
      <c r="C49" s="44">
        <v>17</v>
      </c>
      <c r="D49" s="44" t="s">
        <v>257</v>
      </c>
      <c r="E49" s="60">
        <f t="shared" si="6"/>
        <v>0.89235399590163933</v>
      </c>
      <c r="F49" s="373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9">
        <v>0.83267459864721705</v>
      </c>
    </row>
    <row r="50" spans="1:27" ht="13.9">
      <c r="A50" s="37" t="s">
        <v>463</v>
      </c>
      <c r="B50" s="44" t="s">
        <v>142</v>
      </c>
      <c r="C50" s="44">
        <v>17</v>
      </c>
      <c r="D50" s="44" t="s">
        <v>452</v>
      </c>
      <c r="E50" s="69">
        <f t="shared" si="6"/>
        <v>0.33305692234682915</v>
      </c>
      <c r="F50" s="373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9">
      <c r="A51" s="116" t="s">
        <v>259</v>
      </c>
      <c r="B51" s="117" t="s">
        <v>142</v>
      </c>
      <c r="C51" s="117">
        <v>17</v>
      </c>
      <c r="D51" s="117" t="s">
        <v>454</v>
      </c>
      <c r="E51" s="118">
        <f t="shared" si="6"/>
        <v>1</v>
      </c>
      <c r="F51" s="373"/>
      <c r="I51" s="122"/>
      <c r="J51" s="122"/>
      <c r="Q51" s="93" t="s">
        <v>304</v>
      </c>
      <c r="R51" s="94">
        <v>0.93520619672453054</v>
      </c>
      <c r="S51" s="93" t="s">
        <v>203</v>
      </c>
      <c r="W51" s="37" t="s">
        <v>267</v>
      </c>
      <c r="X51" s="44" t="s">
        <v>141</v>
      </c>
      <c r="Y51" s="44">
        <v>14</v>
      </c>
      <c r="Z51" s="44" t="s">
        <v>268</v>
      </c>
      <c r="AA51" s="69">
        <v>0.80341264723043471</v>
      </c>
    </row>
    <row r="52" spans="1:27" ht="13.9">
      <c r="A52" s="37" t="s">
        <v>265</v>
      </c>
      <c r="B52" s="44" t="s">
        <v>142</v>
      </c>
      <c r="C52" s="44">
        <v>17</v>
      </c>
      <c r="D52" s="44" t="s">
        <v>266</v>
      </c>
      <c r="E52" s="60">
        <f t="shared" si="6"/>
        <v>0.7886228860092247</v>
      </c>
      <c r="F52" s="373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9">
        <v>0.7886228860092247</v>
      </c>
    </row>
    <row r="53" spans="1:27" ht="13.9">
      <c r="A53" s="37" t="s">
        <v>367</v>
      </c>
      <c r="B53" s="44" t="s">
        <v>142</v>
      </c>
      <c r="C53" s="44">
        <v>17</v>
      </c>
      <c r="D53" s="44" t="s">
        <v>368</v>
      </c>
      <c r="E53" s="60">
        <f t="shared" si="6"/>
        <v>1.0292149475019923</v>
      </c>
      <c r="F53" s="373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9">
        <v>0.78418126509511765</v>
      </c>
    </row>
    <row r="54" spans="1:27" ht="13.9">
      <c r="A54" s="37" t="s">
        <v>275</v>
      </c>
      <c r="B54" s="44" t="s">
        <v>142</v>
      </c>
      <c r="C54" s="44">
        <v>17</v>
      </c>
      <c r="D54" s="44" t="s">
        <v>276</v>
      </c>
      <c r="E54" s="60">
        <f t="shared" si="6"/>
        <v>0.64970550208303401</v>
      </c>
      <c r="F54" s="373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9">
        <v>0.77444478716841458</v>
      </c>
    </row>
    <row r="55" spans="1:27" ht="13.9">
      <c r="A55" s="37" t="s">
        <v>279</v>
      </c>
      <c r="B55" s="44" t="s">
        <v>142</v>
      </c>
      <c r="C55" s="44">
        <v>17</v>
      </c>
      <c r="D55" s="44" t="s">
        <v>280</v>
      </c>
      <c r="E55" s="69">
        <f t="shared" si="6"/>
        <v>0.47637430521244206</v>
      </c>
      <c r="F55" s="373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9">
        <v>0.76907329412838532</v>
      </c>
    </row>
    <row r="56" spans="1:27" ht="13.9">
      <c r="A56" s="37" t="s">
        <v>287</v>
      </c>
      <c r="B56" s="44" t="s">
        <v>142</v>
      </c>
      <c r="C56" s="44">
        <v>17</v>
      </c>
      <c r="D56" s="44" t="s">
        <v>441</v>
      </c>
      <c r="E56" s="60">
        <f t="shared" si="6"/>
        <v>1</v>
      </c>
      <c r="F56" s="373"/>
      <c r="Q56" s="93" t="s">
        <v>456</v>
      </c>
      <c r="R56" s="94">
        <v>0.99461817608484948</v>
      </c>
      <c r="S56" s="93" t="s">
        <v>203</v>
      </c>
      <c r="W56" s="37" t="s">
        <v>263</v>
      </c>
      <c r="X56" s="44" t="s">
        <v>139</v>
      </c>
      <c r="Y56" s="44">
        <v>16</v>
      </c>
      <c r="Z56" s="44" t="s">
        <v>264</v>
      </c>
      <c r="AA56" s="69">
        <v>0.76510407852428497</v>
      </c>
    </row>
    <row r="57" spans="1:27" ht="13.9">
      <c r="A57" s="37" t="s">
        <v>273</v>
      </c>
      <c r="B57" s="44" t="s">
        <v>142</v>
      </c>
      <c r="C57" s="44">
        <v>17</v>
      </c>
      <c r="D57" s="44" t="s">
        <v>274</v>
      </c>
      <c r="E57" s="60">
        <f t="shared" si="6"/>
        <v>0.57845507252191697</v>
      </c>
      <c r="F57" s="373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9">
        <v>0.76017780502759058</v>
      </c>
    </row>
    <row r="58" spans="1:27" ht="13.9">
      <c r="A58" s="37" t="s">
        <v>299</v>
      </c>
      <c r="B58" s="44" t="s">
        <v>142</v>
      </c>
      <c r="C58" s="44">
        <v>17</v>
      </c>
      <c r="D58" s="44" t="s">
        <v>300</v>
      </c>
      <c r="E58" s="60">
        <f t="shared" si="6"/>
        <v>0.62481029959532464</v>
      </c>
      <c r="F58" s="373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9">
      <c r="A59" s="45" t="s">
        <v>411</v>
      </c>
      <c r="B59" s="46" t="s">
        <v>173</v>
      </c>
      <c r="C59" s="46">
        <v>16</v>
      </c>
      <c r="D59" s="46" t="s">
        <v>412</v>
      </c>
      <c r="E59" s="61">
        <f t="shared" si="6"/>
        <v>0.99533285779852521</v>
      </c>
      <c r="F59" s="373"/>
      <c r="Q59" s="93" t="s">
        <v>292</v>
      </c>
      <c r="R59" s="94">
        <v>0.66251692368655679</v>
      </c>
      <c r="S59" s="93" t="s">
        <v>204</v>
      </c>
      <c r="W59" s="37" t="s">
        <v>249</v>
      </c>
      <c r="X59" s="44" t="s">
        <v>140</v>
      </c>
      <c r="Y59" s="44">
        <v>15</v>
      </c>
      <c r="Z59" s="44" t="s">
        <v>250</v>
      </c>
      <c r="AA59" s="69">
        <v>0.71562826313957539</v>
      </c>
    </row>
    <row r="60" spans="1:27" ht="13.9">
      <c r="A60" s="45" t="s">
        <v>305</v>
      </c>
      <c r="B60" s="46" t="s">
        <v>173</v>
      </c>
      <c r="C60" s="46">
        <v>16</v>
      </c>
      <c r="D60" s="46" t="s">
        <v>456</v>
      </c>
      <c r="E60" s="61">
        <f t="shared" si="6"/>
        <v>0.99461817608484948</v>
      </c>
      <c r="F60" s="373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9">
        <v>0.68875112521618576</v>
      </c>
    </row>
    <row r="61" spans="1:27" ht="13.9">
      <c r="A61" s="37" t="s">
        <v>303</v>
      </c>
      <c r="B61" s="44" t="s">
        <v>175</v>
      </c>
      <c r="C61" s="44">
        <v>15</v>
      </c>
      <c r="D61" s="44" t="s">
        <v>304</v>
      </c>
      <c r="E61" s="69">
        <f t="shared" si="6"/>
        <v>0.93520619672453054</v>
      </c>
      <c r="F61" s="373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9">
        <v>0.66251692368655679</v>
      </c>
    </row>
    <row r="62" spans="1:27" ht="14.45" thickBot="1">
      <c r="A62" s="89" t="s">
        <v>371</v>
      </c>
      <c r="B62" s="90" t="s">
        <v>187</v>
      </c>
      <c r="C62" s="90">
        <v>9</v>
      </c>
      <c r="D62" s="90" t="s">
        <v>457</v>
      </c>
      <c r="E62" s="112">
        <f t="shared" si="6"/>
        <v>0.11951366732775717</v>
      </c>
      <c r="F62" s="373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9">
        <v>0.64970550208303401</v>
      </c>
    </row>
    <row r="63" spans="1:27" ht="13.9">
      <c r="A63" s="37" t="s">
        <v>384</v>
      </c>
      <c r="B63" s="44" t="s">
        <v>162</v>
      </c>
      <c r="C63" s="44">
        <v>23</v>
      </c>
      <c r="D63" s="44" t="s">
        <v>309</v>
      </c>
      <c r="E63" s="60">
        <f t="shared" si="6"/>
        <v>0.78418126509511765</v>
      </c>
      <c r="F63" s="373"/>
      <c r="Q63" s="93" t="s">
        <v>459</v>
      </c>
      <c r="R63" s="94">
        <v>0.97036252976978032</v>
      </c>
      <c r="S63" s="93" t="s">
        <v>203</v>
      </c>
      <c r="W63" s="37" t="s">
        <v>361</v>
      </c>
      <c r="X63" s="44" t="s">
        <v>139</v>
      </c>
      <c r="Y63" s="44">
        <v>16</v>
      </c>
      <c r="Z63" s="44" t="s">
        <v>194</v>
      </c>
      <c r="AA63" s="69">
        <v>0.63157463237392464</v>
      </c>
    </row>
    <row r="64" spans="1:27" ht="13.9">
      <c r="A64" s="37" t="s">
        <v>416</v>
      </c>
      <c r="B64" s="44" t="s">
        <v>166</v>
      </c>
      <c r="C64" s="44">
        <v>21</v>
      </c>
      <c r="D64" s="44" t="s">
        <v>417</v>
      </c>
      <c r="E64" s="60">
        <f t="shared" si="6"/>
        <v>0.89001113183270453</v>
      </c>
      <c r="F64" s="373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9">
        <v>0.62875460562079877</v>
      </c>
    </row>
    <row r="65" spans="1:27" ht="13.9">
      <c r="A65" s="45" t="s">
        <v>399</v>
      </c>
      <c r="B65" s="46" t="s">
        <v>173</v>
      </c>
      <c r="C65" s="46">
        <v>16</v>
      </c>
      <c r="D65" s="46" t="s">
        <v>400</v>
      </c>
      <c r="E65" s="61">
        <f t="shared" si="6"/>
        <v>0.97036252976978032</v>
      </c>
      <c r="F65" s="373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9">
        <v>0.62481029959532464</v>
      </c>
    </row>
    <row r="66" spans="1:27" ht="13.9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141</v>
      </c>
      <c r="Y66" s="44">
        <v>14</v>
      </c>
      <c r="Z66" s="44" t="s">
        <v>244</v>
      </c>
      <c r="AA66" s="69">
        <v>0.61841824770837783</v>
      </c>
    </row>
    <row r="67" spans="1:27" ht="14.45" thickBot="1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37" t="s">
        <v>269</v>
      </c>
      <c r="X67" s="44" t="s">
        <v>141</v>
      </c>
      <c r="Y67" s="44">
        <v>14</v>
      </c>
      <c r="Z67" s="44" t="s">
        <v>270</v>
      </c>
      <c r="AA67" s="69">
        <v>0.58646630934150079</v>
      </c>
    </row>
    <row r="68" spans="1:27" ht="13.9">
      <c r="A68" s="41" t="s">
        <v>311</v>
      </c>
      <c r="B68" s="43" t="s">
        <v>141</v>
      </c>
      <c r="C68" s="42">
        <f>AVERAGE(C7:C62)</f>
        <v>18.160714285714285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9">
        <v>0.57845507252191697</v>
      </c>
    </row>
    <row r="69" spans="1:27" ht="13.9">
      <c r="A69" s="3"/>
      <c r="B69" s="3"/>
      <c r="F69" s="5"/>
      <c r="Q69" s="93"/>
      <c r="R69" s="94"/>
      <c r="S69" s="93"/>
      <c r="W69" s="37" t="s">
        <v>289</v>
      </c>
      <c r="X69" s="44" t="s">
        <v>141</v>
      </c>
      <c r="Y69" s="44">
        <v>14</v>
      </c>
      <c r="Z69" s="44" t="s">
        <v>290</v>
      </c>
      <c r="AA69" s="69">
        <v>0.5641445718679996</v>
      </c>
    </row>
    <row r="70" spans="1:27" ht="13.9">
      <c r="A70" s="3"/>
      <c r="B70" s="3"/>
      <c r="F70" s="9"/>
      <c r="G70" s="122"/>
      <c r="Q70" s="93"/>
      <c r="R70" s="94"/>
      <c r="S70" s="93"/>
      <c r="W70" s="37" t="s">
        <v>240</v>
      </c>
      <c r="X70" s="44" t="s">
        <v>139</v>
      </c>
      <c r="Y70" s="44">
        <v>16</v>
      </c>
      <c r="Z70" s="44" t="s">
        <v>241</v>
      </c>
      <c r="AA70" s="69">
        <v>0.541533003736272</v>
      </c>
    </row>
    <row r="71" spans="1:27" ht="13.9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9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9">
        <v>0.36101059894989318</v>
      </c>
    </row>
    <row r="73" spans="1:27" ht="13.9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5" thickBot="1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187</v>
      </c>
      <c r="Y74" s="57">
        <v>5</v>
      </c>
      <c r="Z74" s="57" t="s">
        <v>457</v>
      </c>
      <c r="AA74" s="111">
        <v>0.11951366732775717</v>
      </c>
    </row>
    <row r="75" spans="1:27" ht="13.9">
      <c r="A75" s="85" t="s">
        <v>466</v>
      </c>
      <c r="D75" s="9"/>
      <c r="F75" s="87"/>
      <c r="Q75" s="49"/>
      <c r="R75" s="58"/>
      <c r="S75" s="49"/>
    </row>
    <row r="76" spans="1:27" ht="13.9">
      <c r="A76" s="48" t="s">
        <v>315</v>
      </c>
      <c r="D76" s="9"/>
      <c r="Q76" s="49"/>
      <c r="R76" s="58"/>
      <c r="S76" s="49"/>
    </row>
    <row r="77" spans="1:27" ht="13.9">
      <c r="A77" s="48"/>
      <c r="D77" s="9"/>
      <c r="Q77" s="49"/>
      <c r="R77" s="59"/>
      <c r="S77" s="49"/>
    </row>
    <row r="78" spans="1:27">
      <c r="A78" s="48"/>
    </row>
    <row r="79" spans="1:27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>
      <c r="A80"/>
      <c r="B80"/>
      <c r="C80"/>
      <c r="D80"/>
      <c r="E80" s="74"/>
      <c r="F80"/>
      <c r="Q80"/>
      <c r="R80"/>
      <c r="S80"/>
      <c r="AA80" s="88"/>
    </row>
    <row r="81" spans="1:27" s="86" customFormat="1">
      <c r="A81"/>
      <c r="B81"/>
      <c r="C81"/>
      <c r="D81"/>
      <c r="E81" s="75"/>
      <c r="F81"/>
      <c r="AA81" s="88"/>
    </row>
    <row r="82" spans="1:27" s="86" customFormat="1">
      <c r="A82"/>
      <c r="B82"/>
      <c r="C82"/>
      <c r="D82"/>
      <c r="E82"/>
      <c r="F82"/>
      <c r="G82"/>
      <c r="W82"/>
      <c r="X82"/>
      <c r="Y82"/>
      <c r="Z82"/>
      <c r="AA82"/>
    </row>
    <row r="83" spans="1:27">
      <c r="Q83" s="86"/>
      <c r="R83" s="86"/>
      <c r="S83" s="86"/>
      <c r="AA83"/>
    </row>
    <row r="84" spans="1:27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8">
    <tabColor rgb="FF002060"/>
    <pageSetUpPr fitToPage="1"/>
  </sheetPr>
  <dimension ref="A1:AH88"/>
  <sheetViews>
    <sheetView zoomScale="85" zoomScaleNormal="85" workbookViewId="0"/>
  </sheetViews>
  <sheetFormatPr defaultColWidth="9.140625" defaultRowHeight="13.15" outlineLevelCol="1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">
      <c r="A1" s="40" t="s">
        <v>467</v>
      </c>
    </row>
    <row r="2" spans="1:33" ht="18">
      <c r="A2" s="40"/>
    </row>
    <row r="3" spans="1:33" ht="18">
      <c r="A3" s="40"/>
    </row>
    <row r="4" spans="1:33" ht="18">
      <c r="A4" s="40"/>
    </row>
    <row r="5" spans="1:33" ht="13.9">
      <c r="E5" s="65" t="s">
        <v>434</v>
      </c>
      <c r="AA5" s="65" t="s">
        <v>434</v>
      </c>
      <c r="AF5" s="82" t="s">
        <v>435</v>
      </c>
      <c r="AG5" s="81"/>
    </row>
    <row r="6" spans="1:33" ht="13.9">
      <c r="A6" s="101" t="s">
        <v>212</v>
      </c>
      <c r="B6" s="102" t="s">
        <v>468</v>
      </c>
      <c r="C6" s="103"/>
      <c r="D6" s="103"/>
      <c r="E6" s="104">
        <v>40543</v>
      </c>
      <c r="W6" s="101" t="s">
        <v>212</v>
      </c>
      <c r="X6" s="102" t="s">
        <v>468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14.45945945945946</v>
      </c>
      <c r="AG6" s="79"/>
    </row>
    <row r="7" spans="1:33" ht="14.45" thickBot="1">
      <c r="A7" s="45" t="s">
        <v>431</v>
      </c>
      <c r="B7" s="46" t="s">
        <v>164</v>
      </c>
      <c r="C7" s="46">
        <v>18</v>
      </c>
      <c r="D7" s="46" t="s">
        <v>432</v>
      </c>
      <c r="E7" s="61">
        <f>VLOOKUP($D7,$Q$7:$R$68,2,0)</f>
        <v>1</v>
      </c>
      <c r="F7" s="373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113" t="s">
        <v>437</v>
      </c>
      <c r="X7" s="114" t="s">
        <v>139</v>
      </c>
      <c r="Y7" s="114">
        <v>16</v>
      </c>
      <c r="Z7" s="114" t="s">
        <v>438</v>
      </c>
      <c r="AA7" s="115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9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ref="E8:E14" si="0">VLOOKUP($D8,$Q$7:$R$68,2,0)</f>
        <v>0.92936836749527552</v>
      </c>
      <c r="F8" s="373"/>
      <c r="G8" s="37" t="s">
        <v>137</v>
      </c>
      <c r="H8" s="49">
        <f>COUNTIF(C$7:C$67,"&gt;16")</f>
        <v>4</v>
      </c>
      <c r="I8" s="50">
        <f>H8/H$14</f>
        <v>6.7796610169491525E-2</v>
      </c>
      <c r="K8" s="122"/>
      <c r="M8" s="49"/>
      <c r="N8" s="50"/>
      <c r="O8" s="122"/>
      <c r="Q8" s="93" t="s">
        <v>223</v>
      </c>
      <c r="R8" s="94">
        <v>0.96680210088197405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69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9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0.89318320146074259</v>
      </c>
      <c r="F9" s="373"/>
      <c r="G9" s="37" t="s">
        <v>139</v>
      </c>
      <c r="H9" s="49">
        <f>COUNTIF(C$7:C$67,"=16")</f>
        <v>9</v>
      </c>
      <c r="I9" s="50">
        <f t="shared" ref="I9:I14" si="1">H9/H$14</f>
        <v>0.15254237288135594</v>
      </c>
      <c r="K9" s="122"/>
      <c r="M9" s="49"/>
      <c r="N9" s="50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9" t="s">
        <v>423</v>
      </c>
      <c r="AC9" s="37" t="s">
        <v>139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3.9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0.63157463237392464</v>
      </c>
      <c r="F10" s="373"/>
      <c r="G10" s="37" t="s">
        <v>140</v>
      </c>
      <c r="H10" s="49">
        <f>COUNTIF(C$7:C$67,"=15")</f>
        <v>15</v>
      </c>
      <c r="I10" s="50">
        <f t="shared" si="1"/>
        <v>0.25423728813559321</v>
      </c>
      <c r="K10" s="122"/>
      <c r="M10" s="49"/>
      <c r="N10" s="50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9" t="s">
        <v>423</v>
      </c>
      <c r="AC10" s="37" t="s">
        <v>140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3.9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73"/>
      <c r="G11" s="37" t="s">
        <v>141</v>
      </c>
      <c r="H11" s="49">
        <f>COUNTIF(C$7:C$67,"=14")</f>
        <v>15</v>
      </c>
      <c r="I11" s="50">
        <f t="shared" si="1"/>
        <v>0.25423728813559321</v>
      </c>
      <c r="K11" s="122"/>
      <c r="M11" s="49"/>
      <c r="N11" s="50"/>
      <c r="O11" s="122"/>
      <c r="Q11" s="93" t="s">
        <v>239</v>
      </c>
      <c r="R11" s="94">
        <v>0.91095138568993894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69" t="s">
        <v>423</v>
      </c>
      <c r="AC11" s="37" t="s">
        <v>141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3.9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0.76510407852428497</v>
      </c>
      <c r="F12" s="373"/>
      <c r="G12" s="37" t="s">
        <v>142</v>
      </c>
      <c r="H12" s="49">
        <f>COUNTIF(C$7:C$67,"=13")</f>
        <v>11</v>
      </c>
      <c r="I12" s="50">
        <f t="shared" si="1"/>
        <v>0.1864406779661017</v>
      </c>
      <c r="M12" s="49"/>
      <c r="N12" s="50"/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9" t="s">
        <v>423</v>
      </c>
      <c r="AC12" s="37" t="s">
        <v>142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4.45" thickBot="1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73"/>
      <c r="G13" s="53" t="s">
        <v>143</v>
      </c>
      <c r="H13" s="55">
        <f>COUNTIF(C$7:C$67,"&lt;13")</f>
        <v>5</v>
      </c>
      <c r="I13" s="56">
        <f t="shared" si="1"/>
        <v>8.4745762711864403E-2</v>
      </c>
      <c r="M13" s="49"/>
      <c r="N13" s="50"/>
      <c r="Q13" s="93" t="s">
        <v>246</v>
      </c>
      <c r="R13" s="94">
        <v>0.68875112521618576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69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9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0.541533003736272</v>
      </c>
      <c r="F14" s="373"/>
      <c r="G14" s="41" t="s">
        <v>144</v>
      </c>
      <c r="H14" s="51">
        <f>SUM(H8:H13)</f>
        <v>59</v>
      </c>
      <c r="I14" s="52">
        <f t="shared" si="1"/>
        <v>1</v>
      </c>
      <c r="M14" s="51"/>
      <c r="N14" s="52"/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9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9">
      <c r="A15" s="45" t="s">
        <v>345</v>
      </c>
      <c r="B15" s="46" t="s">
        <v>139</v>
      </c>
      <c r="C15" s="46">
        <v>16</v>
      </c>
      <c r="D15" s="46" t="s">
        <v>346</v>
      </c>
      <c r="E15" s="61">
        <f t="shared" ref="E15:E46" si="3">VLOOKUP($D15,$Q$7:$R$68,2,0)</f>
        <v>0.975461842272901</v>
      </c>
      <c r="F15" s="373"/>
      <c r="K15" s="5"/>
      <c r="Q15" s="93" t="s">
        <v>452</v>
      </c>
      <c r="R15" s="94">
        <v>0.33305692234682915</v>
      </c>
      <c r="S15" s="93" t="s">
        <v>194</v>
      </c>
      <c r="W15" s="37" t="s">
        <v>431</v>
      </c>
      <c r="X15" s="44" t="s">
        <v>164</v>
      </c>
      <c r="Y15" s="44">
        <v>18</v>
      </c>
      <c r="Z15" s="44" t="s">
        <v>432</v>
      </c>
      <c r="AA15" s="69">
        <v>1</v>
      </c>
      <c r="AG15" s="80"/>
    </row>
    <row r="16" spans="1:33" ht="13.9">
      <c r="A16" s="45" t="s">
        <v>247</v>
      </c>
      <c r="B16" s="46" t="s">
        <v>139</v>
      </c>
      <c r="C16" s="46">
        <v>16</v>
      </c>
      <c r="D16" s="46" t="s">
        <v>248</v>
      </c>
      <c r="E16" s="61">
        <f t="shared" si="3"/>
        <v>0.91865112788863534</v>
      </c>
      <c r="F16" s="373"/>
      <c r="K16" s="5"/>
      <c r="Q16" s="93" t="s">
        <v>453</v>
      </c>
      <c r="R16" s="94">
        <v>0.89001113183270453</v>
      </c>
      <c r="S16" s="93" t="s">
        <v>203</v>
      </c>
      <c r="W16" s="37" t="s">
        <v>259</v>
      </c>
      <c r="X16" s="44" t="s">
        <v>139</v>
      </c>
      <c r="Y16" s="44">
        <v>16</v>
      </c>
      <c r="Z16" s="44" t="s">
        <v>454</v>
      </c>
      <c r="AA16" s="69">
        <v>1</v>
      </c>
      <c r="AG16" s="80"/>
    </row>
    <row r="17" spans="1:33" ht="13.9">
      <c r="A17" s="45" t="s">
        <v>251</v>
      </c>
      <c r="B17" s="46" t="s">
        <v>139</v>
      </c>
      <c r="C17" s="46">
        <v>16</v>
      </c>
      <c r="D17" s="46" t="s">
        <v>252</v>
      </c>
      <c r="E17" s="61">
        <f t="shared" si="3"/>
        <v>0.94700000000000006</v>
      </c>
      <c r="F17" s="373"/>
      <c r="K17" s="5"/>
      <c r="Q17" s="93" t="s">
        <v>257</v>
      </c>
      <c r="R17" s="94">
        <v>0.89235399590163933</v>
      </c>
      <c r="S17" s="93" t="s">
        <v>203</v>
      </c>
      <c r="W17" s="37" t="s">
        <v>328</v>
      </c>
      <c r="X17" s="44" t="s">
        <v>141</v>
      </c>
      <c r="Y17" s="44">
        <v>14</v>
      </c>
      <c r="Z17" s="44" t="s">
        <v>331</v>
      </c>
      <c r="AA17" s="69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5" thickBot="1">
      <c r="A18" s="37" t="s">
        <v>217</v>
      </c>
      <c r="B18" s="44" t="s">
        <v>140</v>
      </c>
      <c r="C18" s="44">
        <v>15</v>
      </c>
      <c r="D18" s="44" t="s">
        <v>218</v>
      </c>
      <c r="E18" s="60">
        <f t="shared" si="3"/>
        <v>0.91042888352305396</v>
      </c>
      <c r="F18" s="373"/>
      <c r="K18" s="5"/>
      <c r="Q18" s="93" t="s">
        <v>378</v>
      </c>
      <c r="R18" s="94">
        <v>0.91199977892108686</v>
      </c>
      <c r="S18" s="93" t="s">
        <v>203</v>
      </c>
      <c r="W18" s="37" t="s">
        <v>285</v>
      </c>
      <c r="X18" s="44" t="s">
        <v>141</v>
      </c>
      <c r="Y18" s="44">
        <v>14</v>
      </c>
      <c r="Z18" s="44" t="s">
        <v>286</v>
      </c>
      <c r="AA18" s="69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9">
      <c r="A19" s="37" t="s">
        <v>219</v>
      </c>
      <c r="B19" s="44" t="s">
        <v>140</v>
      </c>
      <c r="C19" s="44">
        <v>15</v>
      </c>
      <c r="D19" s="44" t="s">
        <v>220</v>
      </c>
      <c r="E19" s="60">
        <f t="shared" si="3"/>
        <v>0.86662573118314323</v>
      </c>
      <c r="F19" s="373"/>
      <c r="K19" s="5"/>
      <c r="Q19" s="93" t="s">
        <v>250</v>
      </c>
      <c r="R19" s="94">
        <v>0.71562826313957539</v>
      </c>
      <c r="S19" s="93" t="s">
        <v>204</v>
      </c>
      <c r="W19" s="37" t="s">
        <v>354</v>
      </c>
      <c r="X19" s="44" t="s">
        <v>141</v>
      </c>
      <c r="Y19" s="44">
        <v>14</v>
      </c>
      <c r="Z19" s="44" t="s">
        <v>355</v>
      </c>
      <c r="AA19" s="69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9">
      <c r="A20" s="37" t="s">
        <v>261</v>
      </c>
      <c r="B20" s="44" t="s">
        <v>140</v>
      </c>
      <c r="C20" s="44">
        <v>15</v>
      </c>
      <c r="D20" s="44" t="s">
        <v>262</v>
      </c>
      <c r="E20" s="69">
        <f t="shared" si="3"/>
        <v>0.81254016709511567</v>
      </c>
      <c r="F20" s="373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9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9">
      <c r="A21" s="37" t="s">
        <v>395</v>
      </c>
      <c r="B21" s="44" t="s">
        <v>140</v>
      </c>
      <c r="C21" s="44">
        <v>15</v>
      </c>
      <c r="D21" s="44" t="s">
        <v>396</v>
      </c>
      <c r="E21" s="60">
        <f t="shared" si="3"/>
        <v>0.83267459864721705</v>
      </c>
      <c r="F21" s="373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140</v>
      </c>
      <c r="Y21" s="44">
        <v>15</v>
      </c>
      <c r="Z21" s="44" t="s">
        <v>302</v>
      </c>
      <c r="AA21" s="69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9">
      <c r="A22" s="37" t="s">
        <v>271</v>
      </c>
      <c r="B22" s="44" t="s">
        <v>140</v>
      </c>
      <c r="C22" s="44">
        <v>15</v>
      </c>
      <c r="D22" s="44" t="s">
        <v>272</v>
      </c>
      <c r="E22" s="60">
        <f t="shared" si="3"/>
        <v>0.36101059894989318</v>
      </c>
      <c r="F22" s="373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9">
      <c r="A23" s="37" t="s">
        <v>408</v>
      </c>
      <c r="B23" s="44" t="s">
        <v>140</v>
      </c>
      <c r="C23" s="44">
        <v>15</v>
      </c>
      <c r="D23" s="44" t="s">
        <v>451</v>
      </c>
      <c r="E23" s="60">
        <f t="shared" si="3"/>
        <v>0.76017780502759058</v>
      </c>
      <c r="F23" s="373"/>
      <c r="Q23" s="93" t="s">
        <v>262</v>
      </c>
      <c r="R23" s="94">
        <v>0.81254016709511567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69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5" thickBot="1">
      <c r="A24" s="37" t="s">
        <v>394</v>
      </c>
      <c r="B24" s="44" t="s">
        <v>140</v>
      </c>
      <c r="C24" s="44">
        <v>15</v>
      </c>
      <c r="D24" s="44" t="s">
        <v>236</v>
      </c>
      <c r="E24" s="69">
        <f t="shared" si="3"/>
        <v>0.95294725244456668</v>
      </c>
      <c r="F24" s="373"/>
      <c r="Q24" s="93" t="s">
        <v>264</v>
      </c>
      <c r="R24" s="94">
        <v>0.76510407852428497</v>
      </c>
      <c r="S24" s="93" t="s">
        <v>204</v>
      </c>
      <c r="W24" s="37" t="s">
        <v>411</v>
      </c>
      <c r="X24" s="44" t="s">
        <v>173</v>
      </c>
      <c r="Y24" s="44">
        <v>12</v>
      </c>
      <c r="Z24" s="44" t="s">
        <v>412</v>
      </c>
      <c r="AA24" s="69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9">
      <c r="A25" s="37" t="s">
        <v>277</v>
      </c>
      <c r="B25" s="44" t="s">
        <v>140</v>
      </c>
      <c r="C25" s="44">
        <v>15</v>
      </c>
      <c r="D25" s="44" t="s">
        <v>278</v>
      </c>
      <c r="E25" s="60">
        <f t="shared" si="3"/>
        <v>0.76907329412838532</v>
      </c>
      <c r="F25" s="373"/>
      <c r="Q25" s="93" t="s">
        <v>455</v>
      </c>
      <c r="R25" s="94">
        <v>0.96341849943457658</v>
      </c>
      <c r="S25" s="93" t="s">
        <v>203</v>
      </c>
      <c r="W25" s="37" t="s">
        <v>305</v>
      </c>
      <c r="X25" s="44" t="s">
        <v>173</v>
      </c>
      <c r="Y25" s="44">
        <v>12</v>
      </c>
      <c r="Z25" s="44" t="s">
        <v>456</v>
      </c>
      <c r="AA25" s="69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9">
      <c r="A26" s="37" t="s">
        <v>382</v>
      </c>
      <c r="B26" s="44" t="s">
        <v>140</v>
      </c>
      <c r="C26" s="44">
        <v>15</v>
      </c>
      <c r="D26" s="44" t="s">
        <v>383</v>
      </c>
      <c r="E26" s="69">
        <f t="shared" si="3"/>
        <v>0.73349447513812149</v>
      </c>
      <c r="F26" s="373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141</v>
      </c>
      <c r="Y26" s="44">
        <v>14</v>
      </c>
      <c r="Z26" s="44" t="s">
        <v>282</v>
      </c>
      <c r="AA26" s="69">
        <v>0.99126425624848336</v>
      </c>
      <c r="AG26" s="80"/>
    </row>
    <row r="27" spans="1:33" ht="13.9">
      <c r="A27" s="37" t="s">
        <v>301</v>
      </c>
      <c r="B27" s="44" t="s">
        <v>140</v>
      </c>
      <c r="C27" s="44">
        <v>15</v>
      </c>
      <c r="D27" s="44" t="s">
        <v>302</v>
      </c>
      <c r="E27" s="60">
        <f t="shared" si="3"/>
        <v>0.99967409016838671</v>
      </c>
      <c r="F27" s="373"/>
      <c r="Q27" s="93" t="s">
        <v>368</v>
      </c>
      <c r="R27" s="94">
        <v>1.0292149475019923</v>
      </c>
      <c r="S27" s="93" t="s">
        <v>203</v>
      </c>
      <c r="W27" s="37" t="s">
        <v>389</v>
      </c>
      <c r="X27" s="44" t="s">
        <v>141</v>
      </c>
      <c r="Y27" s="44">
        <v>14</v>
      </c>
      <c r="Z27" s="44" t="s">
        <v>390</v>
      </c>
      <c r="AA27" s="69">
        <v>0.98872477714287255</v>
      </c>
      <c r="AG27" s="80"/>
    </row>
    <row r="28" spans="1:33" ht="13.9">
      <c r="A28" s="37" t="s">
        <v>243</v>
      </c>
      <c r="B28" s="44" t="s">
        <v>140</v>
      </c>
      <c r="C28" s="44">
        <v>15</v>
      </c>
      <c r="D28" s="44" t="s">
        <v>244</v>
      </c>
      <c r="E28" s="69">
        <f t="shared" si="3"/>
        <v>0.61841824770837783</v>
      </c>
      <c r="F28" s="373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11.5</v>
      </c>
      <c r="AG28" s="79"/>
    </row>
    <row r="29" spans="1:33" ht="14.45" thickBot="1">
      <c r="A29" s="37" t="s">
        <v>427</v>
      </c>
      <c r="B29" s="44" t="s">
        <v>140</v>
      </c>
      <c r="C29" s="44">
        <v>15</v>
      </c>
      <c r="D29" s="44" t="s">
        <v>428</v>
      </c>
      <c r="E29" s="60">
        <f t="shared" si="3"/>
        <v>0.85816623707026407</v>
      </c>
      <c r="F29" s="373"/>
      <c r="Q29" s="93" t="s">
        <v>457</v>
      </c>
      <c r="R29" s="94">
        <v>0.11951366732775717</v>
      </c>
      <c r="S29" s="93" t="s">
        <v>194</v>
      </c>
      <c r="W29" s="37" t="s">
        <v>283</v>
      </c>
      <c r="X29" s="44" t="s">
        <v>141</v>
      </c>
      <c r="Y29" s="44">
        <v>14</v>
      </c>
      <c r="Z29" s="44" t="s">
        <v>284</v>
      </c>
      <c r="AA29" s="69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9">
      <c r="A30" s="37" t="s">
        <v>347</v>
      </c>
      <c r="B30" s="44" t="s">
        <v>140</v>
      </c>
      <c r="C30" s="44">
        <v>15</v>
      </c>
      <c r="D30" s="44" t="s">
        <v>348</v>
      </c>
      <c r="E30" s="60">
        <f t="shared" si="3"/>
        <v>0.77444478716841458</v>
      </c>
      <c r="F30" s="373"/>
      <c r="Q30" s="93" t="s">
        <v>266</v>
      </c>
      <c r="R30" s="94">
        <v>0.7886228860092247</v>
      </c>
      <c r="S30" s="93" t="s">
        <v>204</v>
      </c>
      <c r="W30" s="37" t="s">
        <v>345</v>
      </c>
      <c r="X30" s="44" t="s">
        <v>139</v>
      </c>
      <c r="Y30" s="44">
        <v>16</v>
      </c>
      <c r="Z30" s="44" t="s">
        <v>346</v>
      </c>
      <c r="AA30" s="69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9">
      <c r="A31" s="37" t="s">
        <v>291</v>
      </c>
      <c r="B31" s="44" t="s">
        <v>140</v>
      </c>
      <c r="C31" s="44">
        <v>15</v>
      </c>
      <c r="D31" s="44" t="s">
        <v>292</v>
      </c>
      <c r="E31" s="60">
        <f t="shared" si="3"/>
        <v>0.66251692368655679</v>
      </c>
      <c r="F31" s="373"/>
      <c r="K31" s="122"/>
      <c r="L31" s="122"/>
      <c r="Q31" s="93" t="s">
        <v>268</v>
      </c>
      <c r="R31" s="94">
        <v>0.80341264723043471</v>
      </c>
      <c r="S31" s="93" t="s">
        <v>203</v>
      </c>
      <c r="W31" s="37" t="s">
        <v>458</v>
      </c>
      <c r="X31" s="44" t="s">
        <v>173</v>
      </c>
      <c r="Y31" s="44">
        <v>12</v>
      </c>
      <c r="Z31" s="44" t="s">
        <v>459</v>
      </c>
      <c r="AA31" s="69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9">
      <c r="A32" s="37" t="s">
        <v>369</v>
      </c>
      <c r="B32" s="44" t="s">
        <v>140</v>
      </c>
      <c r="C32" s="44">
        <v>15</v>
      </c>
      <c r="D32" s="44" t="s">
        <v>375</v>
      </c>
      <c r="E32" s="69">
        <f t="shared" si="3"/>
        <v>0.93843994106691131</v>
      </c>
      <c r="F32" s="373"/>
      <c r="L32" s="122"/>
      <c r="Q32" s="93" t="s">
        <v>270</v>
      </c>
      <c r="R32" s="94">
        <v>0.58646630934150079</v>
      </c>
      <c r="S32" s="93" t="s">
        <v>204</v>
      </c>
      <c r="W32" s="37" t="s">
        <v>222</v>
      </c>
      <c r="X32" s="44" t="s">
        <v>141</v>
      </c>
      <c r="Y32" s="44">
        <v>14</v>
      </c>
      <c r="Z32" s="44" t="s">
        <v>223</v>
      </c>
      <c r="AA32" s="69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9">
      <c r="A33" s="45" t="s">
        <v>222</v>
      </c>
      <c r="B33" s="46" t="s">
        <v>141</v>
      </c>
      <c r="C33" s="46">
        <v>14</v>
      </c>
      <c r="D33" s="46" t="s">
        <v>223</v>
      </c>
      <c r="E33" s="61">
        <f t="shared" si="3"/>
        <v>0.96680210088197405</v>
      </c>
      <c r="F33" s="373"/>
      <c r="L33" s="122"/>
      <c r="Q33" s="93" t="s">
        <v>276</v>
      </c>
      <c r="R33" s="94">
        <v>0.64970550208303401</v>
      </c>
      <c r="S33" s="93" t="s">
        <v>204</v>
      </c>
      <c r="W33" s="37" t="s">
        <v>460</v>
      </c>
      <c r="X33" s="44" t="s">
        <v>139</v>
      </c>
      <c r="Y33" s="44">
        <v>16</v>
      </c>
      <c r="Z33" s="44" t="s">
        <v>455</v>
      </c>
      <c r="AA33" s="69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9">
      <c r="A34" s="45" t="s">
        <v>238</v>
      </c>
      <c r="B34" s="46" t="s">
        <v>141</v>
      </c>
      <c r="C34" s="46">
        <v>14</v>
      </c>
      <c r="D34" s="46" t="s">
        <v>239</v>
      </c>
      <c r="E34" s="61">
        <f t="shared" si="3"/>
        <v>0.91095138568993894</v>
      </c>
      <c r="F34" s="373"/>
      <c r="L34" s="122"/>
      <c r="Q34" s="93" t="s">
        <v>353</v>
      </c>
      <c r="R34" s="94">
        <v>1.0379329114785329</v>
      </c>
      <c r="S34" s="93" t="s">
        <v>203</v>
      </c>
      <c r="W34" s="37" t="s">
        <v>394</v>
      </c>
      <c r="X34" s="44" t="s">
        <v>140</v>
      </c>
      <c r="Y34" s="44">
        <v>15</v>
      </c>
      <c r="Z34" s="44" t="s">
        <v>236</v>
      </c>
      <c r="AA34" s="69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5" thickBot="1">
      <c r="A35" s="45" t="s">
        <v>249</v>
      </c>
      <c r="B35" s="46" t="s">
        <v>141</v>
      </c>
      <c r="C35" s="46">
        <v>14</v>
      </c>
      <c r="D35" s="46" t="s">
        <v>250</v>
      </c>
      <c r="E35" s="61">
        <f t="shared" si="3"/>
        <v>0.71562826313957539</v>
      </c>
      <c r="F35" s="373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37" t="s">
        <v>251</v>
      </c>
      <c r="X35" s="44" t="s">
        <v>139</v>
      </c>
      <c r="Y35" s="44">
        <v>16</v>
      </c>
      <c r="Z35" s="44" t="s">
        <v>252</v>
      </c>
      <c r="AA35" s="69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9">
      <c r="A36" s="45" t="s">
        <v>254</v>
      </c>
      <c r="B36" s="46" t="s">
        <v>141</v>
      </c>
      <c r="C36" s="46">
        <v>14</v>
      </c>
      <c r="D36" s="46" t="s">
        <v>378</v>
      </c>
      <c r="E36" s="61">
        <f t="shared" si="3"/>
        <v>0.91199977892108686</v>
      </c>
      <c r="F36" s="373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37" t="s">
        <v>369</v>
      </c>
      <c r="X36" s="44" t="s">
        <v>140</v>
      </c>
      <c r="Y36" s="44">
        <v>15</v>
      </c>
      <c r="Z36" s="44" t="s">
        <v>375</v>
      </c>
      <c r="AA36" s="69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9">
      <c r="A37" s="45" t="s">
        <v>328</v>
      </c>
      <c r="B37" s="46" t="s">
        <v>141</v>
      </c>
      <c r="C37" s="46">
        <v>14</v>
      </c>
      <c r="D37" s="46" t="s">
        <v>331</v>
      </c>
      <c r="E37" s="61">
        <f t="shared" si="3"/>
        <v>1</v>
      </c>
      <c r="F37" s="373"/>
      <c r="H37" s="5"/>
      <c r="J37" s="7"/>
      <c r="Q37" s="93" t="s">
        <v>220</v>
      </c>
      <c r="R37" s="94">
        <v>0.86662573118314323</v>
      </c>
      <c r="S37" s="93" t="s">
        <v>203</v>
      </c>
      <c r="W37" s="37" t="s">
        <v>303</v>
      </c>
      <c r="X37" s="44" t="s">
        <v>175</v>
      </c>
      <c r="Y37" s="44">
        <v>11</v>
      </c>
      <c r="Z37" s="44" t="s">
        <v>304</v>
      </c>
      <c r="AA37" s="69">
        <v>0.93520619672453054</v>
      </c>
    </row>
    <row r="38" spans="1:31" ht="13.9">
      <c r="A38" s="45" t="s">
        <v>267</v>
      </c>
      <c r="B38" s="46" t="s">
        <v>141</v>
      </c>
      <c r="C38" s="46">
        <v>14</v>
      </c>
      <c r="D38" s="46" t="s">
        <v>268</v>
      </c>
      <c r="E38" s="61">
        <f t="shared" si="3"/>
        <v>0.80341264723043471</v>
      </c>
      <c r="F38" s="373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9">
        <v>0.92936836749527552</v>
      </c>
    </row>
    <row r="39" spans="1:31" ht="13.9">
      <c r="A39" s="45" t="s">
        <v>269</v>
      </c>
      <c r="B39" s="46" t="s">
        <v>141</v>
      </c>
      <c r="C39" s="46">
        <v>14</v>
      </c>
      <c r="D39" s="46" t="s">
        <v>270</v>
      </c>
      <c r="E39" s="61">
        <f t="shared" si="3"/>
        <v>0.58646630934150079</v>
      </c>
      <c r="F39" s="373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139</v>
      </c>
      <c r="Y39" s="44">
        <v>16</v>
      </c>
      <c r="Z39" s="44" t="s">
        <v>248</v>
      </c>
      <c r="AA39" s="69">
        <v>0.91865112788863534</v>
      </c>
    </row>
    <row r="40" spans="1:31" ht="13.9">
      <c r="A40" s="45" t="s">
        <v>352</v>
      </c>
      <c r="B40" s="46" t="s">
        <v>141</v>
      </c>
      <c r="C40" s="46">
        <v>14</v>
      </c>
      <c r="D40" s="46" t="s">
        <v>353</v>
      </c>
      <c r="E40" s="61">
        <f t="shared" si="3"/>
        <v>1.0379329114785329</v>
      </c>
      <c r="F40" s="373"/>
      <c r="H40" s="5"/>
      <c r="J40" s="8"/>
      <c r="Q40" s="93" t="s">
        <v>241</v>
      </c>
      <c r="R40" s="94">
        <v>0.541533003736272</v>
      </c>
      <c r="S40" s="93" t="s">
        <v>204</v>
      </c>
      <c r="W40" s="37" t="s">
        <v>254</v>
      </c>
      <c r="X40" s="44" t="s">
        <v>141</v>
      </c>
      <c r="Y40" s="44">
        <v>14</v>
      </c>
      <c r="Z40" s="44" t="s">
        <v>378</v>
      </c>
      <c r="AA40" s="69">
        <v>0.91199977892108686</v>
      </c>
    </row>
    <row r="41" spans="1:31" ht="13.9">
      <c r="A41" s="45" t="s">
        <v>283</v>
      </c>
      <c r="B41" s="46" t="s">
        <v>141</v>
      </c>
      <c r="C41" s="46">
        <v>14</v>
      </c>
      <c r="D41" s="46" t="s">
        <v>284</v>
      </c>
      <c r="E41" s="61">
        <f t="shared" si="3"/>
        <v>0.97697589100213744</v>
      </c>
      <c r="F41" s="373"/>
      <c r="H41" s="5"/>
      <c r="J41" s="8"/>
      <c r="Q41" s="93" t="s">
        <v>274</v>
      </c>
      <c r="R41" s="94">
        <v>0.57845507252191697</v>
      </c>
      <c r="S41" s="93" t="s">
        <v>204</v>
      </c>
      <c r="W41" s="37" t="s">
        <v>238</v>
      </c>
      <c r="X41" s="44" t="s">
        <v>141</v>
      </c>
      <c r="Y41" s="44">
        <v>14</v>
      </c>
      <c r="Z41" s="44" t="s">
        <v>239</v>
      </c>
      <c r="AA41" s="69">
        <v>0.91095138568993894</v>
      </c>
    </row>
    <row r="42" spans="1:31" ht="13.9">
      <c r="A42" s="45" t="s">
        <v>297</v>
      </c>
      <c r="B42" s="46" t="s">
        <v>141</v>
      </c>
      <c r="C42" s="46">
        <v>14</v>
      </c>
      <c r="D42" s="46" t="s">
        <v>298</v>
      </c>
      <c r="E42" s="61">
        <f t="shared" si="3"/>
        <v>0.99569209153466032</v>
      </c>
      <c r="F42" s="373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9">
        <v>0.91042888352305396</v>
      </c>
    </row>
    <row r="43" spans="1:31" ht="13.9">
      <c r="A43" s="45" t="s">
        <v>281</v>
      </c>
      <c r="B43" s="46" t="s">
        <v>141</v>
      </c>
      <c r="C43" s="46">
        <v>14</v>
      </c>
      <c r="D43" s="46" t="s">
        <v>282</v>
      </c>
      <c r="E43" s="61">
        <f t="shared" si="3"/>
        <v>0.99126425624848336</v>
      </c>
      <c r="F43" s="373"/>
      <c r="Q43" s="93" t="s">
        <v>236</v>
      </c>
      <c r="R43" s="94">
        <v>0.95294725244456668</v>
      </c>
      <c r="S43" s="93" t="s">
        <v>203</v>
      </c>
      <c r="W43" s="37" t="s">
        <v>227</v>
      </c>
      <c r="X43" s="44" t="s">
        <v>139</v>
      </c>
      <c r="Y43" s="44">
        <v>16</v>
      </c>
      <c r="Z43" s="44" t="s">
        <v>228</v>
      </c>
      <c r="AA43" s="69">
        <v>0.89318320146074259</v>
      </c>
    </row>
    <row r="44" spans="1:31" ht="13.9">
      <c r="A44" s="45" t="s">
        <v>285</v>
      </c>
      <c r="B44" s="46" t="s">
        <v>141</v>
      </c>
      <c r="C44" s="46">
        <v>14</v>
      </c>
      <c r="D44" s="46" t="s">
        <v>286</v>
      </c>
      <c r="E44" s="61">
        <f t="shared" si="3"/>
        <v>1</v>
      </c>
      <c r="F44" s="373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9">
        <v>0.89235399590163933</v>
      </c>
    </row>
    <row r="45" spans="1:31" ht="13.9">
      <c r="A45" s="45" t="s">
        <v>289</v>
      </c>
      <c r="B45" s="46" t="s">
        <v>141</v>
      </c>
      <c r="C45" s="46">
        <v>14</v>
      </c>
      <c r="D45" s="46" t="s">
        <v>290</v>
      </c>
      <c r="E45" s="61">
        <f t="shared" si="3"/>
        <v>0.5641445718679996</v>
      </c>
      <c r="F45" s="373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9">
        <v>0.89001113183270453</v>
      </c>
    </row>
    <row r="46" spans="1:31" ht="13.9">
      <c r="A46" s="45" t="s">
        <v>389</v>
      </c>
      <c r="B46" s="46" t="s">
        <v>141</v>
      </c>
      <c r="C46" s="46">
        <v>14</v>
      </c>
      <c r="D46" s="46" t="s">
        <v>390</v>
      </c>
      <c r="E46" s="61">
        <f t="shared" si="3"/>
        <v>0.98872477714287255</v>
      </c>
      <c r="F46" s="373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9">
        <v>0.86662573118314323</v>
      </c>
    </row>
    <row r="47" spans="1:31" ht="13.9">
      <c r="A47" s="45" t="s">
        <v>354</v>
      </c>
      <c r="B47" s="46" t="s">
        <v>141</v>
      </c>
      <c r="C47" s="46">
        <v>14</v>
      </c>
      <c r="D47" s="46" t="s">
        <v>355</v>
      </c>
      <c r="E47" s="61">
        <f t="shared" ref="E47:E67" si="6">VLOOKUP($D47,$Q$7:$R$68,2,0)</f>
        <v>1</v>
      </c>
      <c r="F47" s="373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9">
        <v>0.85816623707026407</v>
      </c>
    </row>
    <row r="48" spans="1:31" ht="13.9">
      <c r="A48" s="37" t="s">
        <v>225</v>
      </c>
      <c r="B48" s="44" t="s">
        <v>142</v>
      </c>
      <c r="C48" s="44">
        <v>13</v>
      </c>
      <c r="D48" s="44" t="s">
        <v>226</v>
      </c>
      <c r="E48" s="60">
        <f t="shared" si="6"/>
        <v>0.84669359982989578</v>
      </c>
      <c r="F48" s="373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9">
        <v>0.84669359982989578</v>
      </c>
    </row>
    <row r="49" spans="1:27" ht="13.9">
      <c r="A49" s="37" t="s">
        <v>245</v>
      </c>
      <c r="B49" s="44" t="s">
        <v>142</v>
      </c>
      <c r="C49" s="44">
        <v>13</v>
      </c>
      <c r="D49" s="44" t="s">
        <v>246</v>
      </c>
      <c r="E49" s="60">
        <f t="shared" si="6"/>
        <v>0.68875112521618576</v>
      </c>
      <c r="F49" s="373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9">
        <v>0.83267459864721705</v>
      </c>
    </row>
    <row r="50" spans="1:27" ht="13.9">
      <c r="A50" s="37" t="s">
        <v>256</v>
      </c>
      <c r="B50" s="44" t="s">
        <v>142</v>
      </c>
      <c r="C50" s="44">
        <v>13</v>
      </c>
      <c r="D50" s="44" t="s">
        <v>257</v>
      </c>
      <c r="E50" s="60">
        <f t="shared" si="6"/>
        <v>0.89235399590163933</v>
      </c>
      <c r="F50" s="373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9">
      <c r="A51" s="37" t="s">
        <v>463</v>
      </c>
      <c r="B51" s="44" t="s">
        <v>142</v>
      </c>
      <c r="C51" s="44">
        <v>13</v>
      </c>
      <c r="D51" s="44" t="s">
        <v>452</v>
      </c>
      <c r="E51" s="69">
        <f t="shared" si="6"/>
        <v>0.33305692234682915</v>
      </c>
      <c r="F51" s="373"/>
      <c r="I51" s="122"/>
      <c r="J51" s="122"/>
      <c r="Q51" s="93" t="s">
        <v>304</v>
      </c>
      <c r="R51" s="94">
        <v>0.93520619672453054</v>
      </c>
      <c r="S51" s="93" t="s">
        <v>203</v>
      </c>
      <c r="W51" s="37" t="s">
        <v>267</v>
      </c>
      <c r="X51" s="44" t="s">
        <v>141</v>
      </c>
      <c r="Y51" s="44">
        <v>14</v>
      </c>
      <c r="Z51" s="44" t="s">
        <v>268</v>
      </c>
      <c r="AA51" s="69">
        <v>0.80341264723043471</v>
      </c>
    </row>
    <row r="52" spans="1:27" ht="13.9">
      <c r="A52" s="37" t="s">
        <v>265</v>
      </c>
      <c r="B52" s="44" t="s">
        <v>142</v>
      </c>
      <c r="C52" s="44">
        <v>13</v>
      </c>
      <c r="D52" s="44" t="s">
        <v>266</v>
      </c>
      <c r="E52" s="60">
        <f t="shared" si="6"/>
        <v>0.7886228860092247</v>
      </c>
      <c r="F52" s="373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9">
        <v>0.7886228860092247</v>
      </c>
    </row>
    <row r="53" spans="1:27" ht="13.9">
      <c r="A53" s="37" t="s">
        <v>367</v>
      </c>
      <c r="B53" s="44" t="s">
        <v>142</v>
      </c>
      <c r="C53" s="44">
        <v>13</v>
      </c>
      <c r="D53" s="44" t="s">
        <v>368</v>
      </c>
      <c r="E53" s="60">
        <f t="shared" si="6"/>
        <v>1.0292149475019923</v>
      </c>
      <c r="F53" s="373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9">
        <v>0.78418126509511765</v>
      </c>
    </row>
    <row r="54" spans="1:27" ht="13.9">
      <c r="A54" s="37" t="s">
        <v>275</v>
      </c>
      <c r="B54" s="44" t="s">
        <v>142</v>
      </c>
      <c r="C54" s="44">
        <v>13</v>
      </c>
      <c r="D54" s="44" t="s">
        <v>276</v>
      </c>
      <c r="E54" s="60">
        <f t="shared" si="6"/>
        <v>0.64970550208303401</v>
      </c>
      <c r="F54" s="373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9">
        <v>0.77444478716841458</v>
      </c>
    </row>
    <row r="55" spans="1:27" ht="13.9">
      <c r="A55" s="37" t="s">
        <v>279</v>
      </c>
      <c r="B55" s="44" t="s">
        <v>142</v>
      </c>
      <c r="C55" s="44">
        <v>13</v>
      </c>
      <c r="D55" s="44" t="s">
        <v>280</v>
      </c>
      <c r="E55" s="69">
        <f t="shared" si="6"/>
        <v>0.47637430521244206</v>
      </c>
      <c r="F55" s="373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9">
        <v>0.76907329412838532</v>
      </c>
    </row>
    <row r="56" spans="1:27" ht="13.9">
      <c r="A56" s="37" t="s">
        <v>287</v>
      </c>
      <c r="B56" s="44" t="s">
        <v>142</v>
      </c>
      <c r="C56" s="44">
        <v>13</v>
      </c>
      <c r="D56" s="44" t="s">
        <v>441</v>
      </c>
      <c r="E56" s="60">
        <f t="shared" si="6"/>
        <v>1</v>
      </c>
      <c r="F56" s="373"/>
      <c r="Q56" s="93" t="s">
        <v>456</v>
      </c>
      <c r="R56" s="94">
        <v>0.99461817608484948</v>
      </c>
      <c r="S56" s="93" t="s">
        <v>203</v>
      </c>
      <c r="W56" s="37" t="s">
        <v>263</v>
      </c>
      <c r="X56" s="44" t="s">
        <v>139</v>
      </c>
      <c r="Y56" s="44">
        <v>16</v>
      </c>
      <c r="Z56" s="44" t="s">
        <v>264</v>
      </c>
      <c r="AA56" s="69">
        <v>0.76510407852428497</v>
      </c>
    </row>
    <row r="57" spans="1:27" ht="13.9">
      <c r="A57" s="37" t="s">
        <v>273</v>
      </c>
      <c r="B57" s="44" t="s">
        <v>142</v>
      </c>
      <c r="C57" s="44">
        <v>13</v>
      </c>
      <c r="D57" s="44" t="s">
        <v>274</v>
      </c>
      <c r="E57" s="60">
        <f t="shared" si="6"/>
        <v>0.57845507252191697</v>
      </c>
      <c r="F57" s="373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9">
        <v>0.76017780502759058</v>
      </c>
    </row>
    <row r="58" spans="1:27" ht="13.9">
      <c r="A58" s="37" t="s">
        <v>299</v>
      </c>
      <c r="B58" s="44" t="s">
        <v>142</v>
      </c>
      <c r="C58" s="44">
        <v>13</v>
      </c>
      <c r="D58" s="44" t="s">
        <v>300</v>
      </c>
      <c r="E58" s="60">
        <f t="shared" si="6"/>
        <v>0.62481029959532464</v>
      </c>
      <c r="F58" s="373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9">
      <c r="A59" s="45" t="s">
        <v>305</v>
      </c>
      <c r="B59" s="46" t="s">
        <v>173</v>
      </c>
      <c r="C59" s="46">
        <v>12</v>
      </c>
      <c r="D59" s="46" t="s">
        <v>456</v>
      </c>
      <c r="E59" s="61">
        <f t="shared" si="6"/>
        <v>0.99461817608484948</v>
      </c>
      <c r="F59" s="373"/>
      <c r="Q59" s="93" t="s">
        <v>292</v>
      </c>
      <c r="R59" s="94">
        <v>0.66251692368655679</v>
      </c>
      <c r="S59" s="93" t="s">
        <v>204</v>
      </c>
      <c r="W59" s="37" t="s">
        <v>249</v>
      </c>
      <c r="X59" s="44" t="s">
        <v>141</v>
      </c>
      <c r="Y59" s="44">
        <v>14</v>
      </c>
      <c r="Z59" s="44" t="s">
        <v>250</v>
      </c>
      <c r="AA59" s="69">
        <v>0.71562826313957539</v>
      </c>
    </row>
    <row r="60" spans="1:27" ht="13.9">
      <c r="A60" s="45" t="s">
        <v>411</v>
      </c>
      <c r="B60" s="46" t="s">
        <v>173</v>
      </c>
      <c r="C60" s="46">
        <v>12</v>
      </c>
      <c r="D60" s="46" t="s">
        <v>412</v>
      </c>
      <c r="E60" s="61">
        <f t="shared" si="6"/>
        <v>0.99533285779852521</v>
      </c>
      <c r="F60" s="373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9">
        <v>0.68875112521618576</v>
      </c>
    </row>
    <row r="61" spans="1:27" ht="13.9">
      <c r="A61" s="95" t="s">
        <v>303</v>
      </c>
      <c r="B61" s="96" t="s">
        <v>175</v>
      </c>
      <c r="C61" s="96">
        <v>11</v>
      </c>
      <c r="D61" s="96" t="s">
        <v>304</v>
      </c>
      <c r="E61" s="97">
        <f t="shared" si="6"/>
        <v>0.93520619672453054</v>
      </c>
      <c r="F61" s="373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9">
        <v>0.66251692368655679</v>
      </c>
    </row>
    <row r="62" spans="1:27" ht="14.45" thickBot="1">
      <c r="A62" s="89" t="s">
        <v>371</v>
      </c>
      <c r="B62" s="90" t="s">
        <v>187</v>
      </c>
      <c r="C62" s="90">
        <v>5</v>
      </c>
      <c r="D62" s="90" t="s">
        <v>457</v>
      </c>
      <c r="E62" s="112">
        <f t="shared" si="6"/>
        <v>0.11951366732775717</v>
      </c>
      <c r="F62" s="373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9">
        <v>0.64970550208303401</v>
      </c>
    </row>
    <row r="63" spans="1:27" ht="13.9">
      <c r="A63" s="37" t="s">
        <v>464</v>
      </c>
      <c r="B63" s="44" t="s">
        <v>162</v>
      </c>
      <c r="C63" s="44">
        <v>19</v>
      </c>
      <c r="D63" s="44" t="s">
        <v>461</v>
      </c>
      <c r="E63" s="60">
        <f t="shared" si="6"/>
        <v>0.78418126509511765</v>
      </c>
      <c r="F63" s="373"/>
      <c r="Q63" s="93" t="s">
        <v>459</v>
      </c>
      <c r="R63" s="94">
        <v>0.97036252976978032</v>
      </c>
      <c r="S63" s="93" t="s">
        <v>203</v>
      </c>
      <c r="W63" s="37" t="s">
        <v>361</v>
      </c>
      <c r="X63" s="44" t="s">
        <v>139</v>
      </c>
      <c r="Y63" s="44">
        <v>16</v>
      </c>
      <c r="Z63" s="44" t="s">
        <v>194</v>
      </c>
      <c r="AA63" s="69">
        <v>0.63157463237392464</v>
      </c>
    </row>
    <row r="64" spans="1:27" ht="13.9">
      <c r="A64" s="37" t="s">
        <v>462</v>
      </c>
      <c r="B64" s="44" t="s">
        <v>166</v>
      </c>
      <c r="C64" s="44">
        <v>17</v>
      </c>
      <c r="D64" s="44" t="s">
        <v>453</v>
      </c>
      <c r="E64" s="60">
        <f t="shared" si="6"/>
        <v>0.89001113183270453</v>
      </c>
      <c r="F64" s="373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9">
        <v>0.62875460562079877</v>
      </c>
    </row>
    <row r="65" spans="1:27" ht="13.9">
      <c r="A65" s="45" t="s">
        <v>458</v>
      </c>
      <c r="B65" s="46" t="s">
        <v>173</v>
      </c>
      <c r="C65" s="46">
        <v>12</v>
      </c>
      <c r="D65" s="46" t="s">
        <v>459</v>
      </c>
      <c r="E65" s="61">
        <f t="shared" si="6"/>
        <v>0.97036252976978032</v>
      </c>
      <c r="F65" s="373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9">
        <v>0.62481029959532464</v>
      </c>
    </row>
    <row r="66" spans="1:27" ht="13.9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140</v>
      </c>
      <c r="Y66" s="44">
        <v>15</v>
      </c>
      <c r="Z66" s="44" t="s">
        <v>244</v>
      </c>
      <c r="AA66" s="69">
        <v>0.61841824770837783</v>
      </c>
    </row>
    <row r="67" spans="1:27" ht="14.45" thickBot="1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37" t="s">
        <v>269</v>
      </c>
      <c r="X67" s="44" t="s">
        <v>141</v>
      </c>
      <c r="Y67" s="44">
        <v>14</v>
      </c>
      <c r="Z67" s="44" t="s">
        <v>270</v>
      </c>
      <c r="AA67" s="69">
        <v>0.58646630934150079</v>
      </c>
    </row>
    <row r="68" spans="1:27" ht="13.9">
      <c r="A68" s="41" t="s">
        <v>311</v>
      </c>
      <c r="B68" s="43" t="s">
        <v>141</v>
      </c>
      <c r="C68" s="42">
        <f>AVERAGE(C7:C62)</f>
        <v>14.232142857142858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9">
        <v>0.57845507252191697</v>
      </c>
    </row>
    <row r="69" spans="1:27" ht="13.9">
      <c r="A69" s="3"/>
      <c r="B69" s="3"/>
      <c r="F69" s="5"/>
      <c r="Q69" s="93"/>
      <c r="R69" s="94"/>
      <c r="S69" s="93"/>
      <c r="W69" s="37" t="s">
        <v>289</v>
      </c>
      <c r="X69" s="44" t="s">
        <v>141</v>
      </c>
      <c r="Y69" s="44">
        <v>14</v>
      </c>
      <c r="Z69" s="44" t="s">
        <v>290</v>
      </c>
      <c r="AA69" s="69">
        <v>0.5641445718679996</v>
      </c>
    </row>
    <row r="70" spans="1:27" ht="13.9">
      <c r="A70" s="3"/>
      <c r="B70" s="3"/>
      <c r="F70" s="9"/>
      <c r="G70" s="122"/>
      <c r="Q70" s="93"/>
      <c r="R70" s="94"/>
      <c r="S70" s="93"/>
      <c r="W70" s="37" t="s">
        <v>240</v>
      </c>
      <c r="X70" s="44" t="s">
        <v>139</v>
      </c>
      <c r="Y70" s="44">
        <v>16</v>
      </c>
      <c r="Z70" s="44" t="s">
        <v>241</v>
      </c>
      <c r="AA70" s="69">
        <v>0.541533003736272</v>
      </c>
    </row>
    <row r="71" spans="1:27" ht="13.9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9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9">
        <v>0.36101059894989318</v>
      </c>
    </row>
    <row r="73" spans="1:27" ht="13.9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5" thickBot="1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187</v>
      </c>
      <c r="Y74" s="57">
        <v>5</v>
      </c>
      <c r="Z74" s="57" t="s">
        <v>457</v>
      </c>
      <c r="AA74" s="111">
        <v>0.11951366732775717</v>
      </c>
    </row>
    <row r="75" spans="1:27" ht="13.9">
      <c r="A75" s="85" t="s">
        <v>466</v>
      </c>
      <c r="D75" s="9"/>
      <c r="F75" s="87"/>
      <c r="Q75" s="49"/>
      <c r="R75" s="58"/>
      <c r="S75" s="49"/>
    </row>
    <row r="76" spans="1:27" ht="13.9">
      <c r="A76" s="48" t="s">
        <v>315</v>
      </c>
      <c r="D76" s="9"/>
      <c r="Q76" s="49"/>
      <c r="R76" s="58"/>
      <c r="S76" s="49"/>
    </row>
    <row r="77" spans="1:27" ht="13.9">
      <c r="A77" s="48"/>
      <c r="D77" s="9"/>
      <c r="Q77" s="49"/>
      <c r="R77" s="59"/>
      <c r="S77" s="49"/>
    </row>
    <row r="78" spans="1:27">
      <c r="A78" s="48"/>
    </row>
    <row r="79" spans="1:27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>
      <c r="A80"/>
      <c r="B80"/>
      <c r="C80"/>
      <c r="D80"/>
      <c r="E80" s="74"/>
      <c r="F80"/>
      <c r="Q80"/>
      <c r="R80"/>
      <c r="S80"/>
      <c r="AA80" s="88"/>
    </row>
    <row r="81" spans="1:27" s="86" customFormat="1">
      <c r="AA81" s="88"/>
    </row>
    <row r="82" spans="1:27" s="86" customFormat="1">
      <c r="A82"/>
      <c r="B82"/>
      <c r="C82"/>
      <c r="D82"/>
      <c r="E82"/>
      <c r="F82"/>
      <c r="G82"/>
      <c r="W82"/>
      <c r="X82"/>
      <c r="Y82"/>
      <c r="Z82"/>
      <c r="AA82"/>
    </row>
    <row r="83" spans="1:27">
      <c r="Q83" s="86"/>
      <c r="R83" s="86"/>
      <c r="S83" s="86"/>
      <c r="AA83"/>
    </row>
    <row r="84" spans="1:27">
      <c r="AA84"/>
    </row>
    <row r="88" spans="1:27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9">
    <tabColor rgb="FF002060"/>
    <pageSetUpPr fitToPage="1"/>
  </sheetPr>
  <dimension ref="A1:AH88"/>
  <sheetViews>
    <sheetView zoomScale="85" zoomScaleNormal="85" workbookViewId="0"/>
  </sheetViews>
  <sheetFormatPr defaultColWidth="9.140625" defaultRowHeight="13.15" outlineLevelCol="1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">
      <c r="A1" s="40" t="s">
        <v>469</v>
      </c>
    </row>
    <row r="2" spans="1:33" ht="18">
      <c r="A2" s="40"/>
    </row>
    <row r="3" spans="1:33" ht="18">
      <c r="A3" s="40"/>
    </row>
    <row r="4" spans="1:33" ht="18">
      <c r="A4" s="40"/>
    </row>
    <row r="5" spans="1:33" ht="13.9">
      <c r="E5" s="65" t="s">
        <v>434</v>
      </c>
      <c r="AA5" s="65" t="s">
        <v>434</v>
      </c>
      <c r="AF5" s="82" t="s">
        <v>435</v>
      </c>
      <c r="AG5" s="81"/>
    </row>
    <row r="6" spans="1:33" ht="13.9">
      <c r="A6" s="101" t="s">
        <v>212</v>
      </c>
      <c r="B6" s="102" t="s">
        <v>470</v>
      </c>
      <c r="C6" s="103"/>
      <c r="D6" s="103"/>
      <c r="E6" s="104">
        <v>40543</v>
      </c>
      <c r="W6" s="101" t="s">
        <v>212</v>
      </c>
      <c r="X6" s="102" t="s">
        <v>470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14.432432432432432</v>
      </c>
      <c r="AG6" s="79"/>
    </row>
    <row r="7" spans="1:33" ht="14.45" thickBot="1">
      <c r="A7" s="45" t="s">
        <v>431</v>
      </c>
      <c r="B7" s="46" t="s">
        <v>164</v>
      </c>
      <c r="C7" s="46">
        <v>18</v>
      </c>
      <c r="D7" s="46" t="s">
        <v>432</v>
      </c>
      <c r="E7" s="61">
        <f t="shared" ref="E7:E14" si="0">VLOOKUP($D7,$Q$7:$R$68,2,0)</f>
        <v>1</v>
      </c>
      <c r="F7" s="373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113" t="s">
        <v>437</v>
      </c>
      <c r="X7" s="114" t="s">
        <v>139</v>
      </c>
      <c r="Y7" s="114">
        <v>16</v>
      </c>
      <c r="Z7" s="114" t="s">
        <v>438</v>
      </c>
      <c r="AA7" s="115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9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si="0"/>
        <v>0.92936836749527552</v>
      </c>
      <c r="F8" s="373"/>
      <c r="G8" s="37" t="s">
        <v>137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223</v>
      </c>
      <c r="R8" s="94">
        <v>0.96680210088197405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69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9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0.89318320146074259</v>
      </c>
      <c r="F9" s="373"/>
      <c r="G9" s="37" t="s">
        <v>139</v>
      </c>
      <c r="H9" s="49">
        <f>COUNTIF(C$7:C$67,"=16")</f>
        <v>9</v>
      </c>
      <c r="I9" s="50">
        <f t="shared" ref="I9:I14" si="1">H9/H$14</f>
        <v>0.15254237288135594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9" t="s">
        <v>423</v>
      </c>
      <c r="AC9" s="37" t="s">
        <v>139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3.9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0.63157463237392464</v>
      </c>
      <c r="F10" s="373"/>
      <c r="G10" s="37" t="s">
        <v>140</v>
      </c>
      <c r="H10" s="49">
        <f>COUNTIF(C$7:C$67,"=15")</f>
        <v>15</v>
      </c>
      <c r="I10" s="50">
        <f t="shared" si="1"/>
        <v>0.25423728813559321</v>
      </c>
      <c r="K10" s="122"/>
      <c r="M10" s="122"/>
      <c r="N10" s="122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9" t="s">
        <v>423</v>
      </c>
      <c r="AC10" s="37" t="s">
        <v>140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3.9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73"/>
      <c r="G11" s="37" t="s">
        <v>141</v>
      </c>
      <c r="H11" s="49">
        <f>COUNTIF(C$7:C$67,"=14")</f>
        <v>15</v>
      </c>
      <c r="I11" s="50">
        <f t="shared" si="1"/>
        <v>0.25423728813559321</v>
      </c>
      <c r="K11" s="122"/>
      <c r="M11" s="122"/>
      <c r="N11" s="122"/>
      <c r="O11" s="122"/>
      <c r="Q11" s="93" t="s">
        <v>239</v>
      </c>
      <c r="R11" s="94">
        <v>0.91095138568993894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69" t="s">
        <v>423</v>
      </c>
      <c r="AC11" s="37" t="s">
        <v>141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3.9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0.76510407852428497</v>
      </c>
      <c r="F12" s="373"/>
      <c r="G12" s="37" t="s">
        <v>142</v>
      </c>
      <c r="H12" s="49">
        <f>COUNTIF(C$7:C$67,"=13")</f>
        <v>11</v>
      </c>
      <c r="I12" s="50">
        <f t="shared" si="1"/>
        <v>0.1864406779661017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9" t="s">
        <v>423</v>
      </c>
      <c r="AC12" s="37" t="s">
        <v>142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4.45" thickBot="1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73"/>
      <c r="G13" s="53" t="s">
        <v>143</v>
      </c>
      <c r="H13" s="55">
        <f>COUNTIF(C$7:C$67,"&lt;13")</f>
        <v>5</v>
      </c>
      <c r="I13" s="56">
        <f t="shared" si="1"/>
        <v>8.4745762711864403E-2</v>
      </c>
      <c r="Q13" s="93" t="s">
        <v>246</v>
      </c>
      <c r="R13" s="94">
        <v>0.68875112521618576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69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9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0.541533003736272</v>
      </c>
      <c r="F14" s="373"/>
      <c r="G14" s="41" t="s">
        <v>144</v>
      </c>
      <c r="H14" s="51">
        <f>SUM(H8:H13)</f>
        <v>59</v>
      </c>
      <c r="I14" s="52">
        <f t="shared" si="1"/>
        <v>1</v>
      </c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9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9">
      <c r="A15" s="45" t="s">
        <v>345</v>
      </c>
      <c r="B15" s="46" t="s">
        <v>139</v>
      </c>
      <c r="C15" s="46">
        <v>16</v>
      </c>
      <c r="D15" s="46" t="s">
        <v>346</v>
      </c>
      <c r="E15" s="61">
        <f t="shared" ref="E15:E46" si="3">VLOOKUP($D15,$Q$7:$R$68,2,0)</f>
        <v>0.975461842272901</v>
      </c>
      <c r="F15" s="373"/>
      <c r="K15" s="5"/>
      <c r="Q15" s="93" t="s">
        <v>452</v>
      </c>
      <c r="R15" s="94">
        <v>0.33305692234682915</v>
      </c>
      <c r="S15" s="93" t="s">
        <v>194</v>
      </c>
      <c r="W15" s="37" t="s">
        <v>431</v>
      </c>
      <c r="X15" s="44" t="s">
        <v>164</v>
      </c>
      <c r="Y15" s="44">
        <v>18</v>
      </c>
      <c r="Z15" s="44" t="s">
        <v>432</v>
      </c>
      <c r="AA15" s="69">
        <v>1</v>
      </c>
      <c r="AG15" s="80"/>
    </row>
    <row r="16" spans="1:33" ht="13.9">
      <c r="A16" s="95" t="s">
        <v>247</v>
      </c>
      <c r="B16" s="96" t="s">
        <v>139</v>
      </c>
      <c r="C16" s="96">
        <v>16</v>
      </c>
      <c r="D16" s="96" t="s">
        <v>248</v>
      </c>
      <c r="E16" s="97">
        <f t="shared" si="3"/>
        <v>0.91865112788863534</v>
      </c>
      <c r="F16" s="373"/>
      <c r="K16" s="5"/>
      <c r="Q16" s="93" t="s">
        <v>453</v>
      </c>
      <c r="R16" s="94">
        <v>0.89001113183270453</v>
      </c>
      <c r="S16" s="93" t="s">
        <v>203</v>
      </c>
      <c r="W16" s="37" t="s">
        <v>259</v>
      </c>
      <c r="X16" s="44" t="s">
        <v>139</v>
      </c>
      <c r="Y16" s="44">
        <v>16</v>
      </c>
      <c r="Z16" s="44" t="s">
        <v>454</v>
      </c>
      <c r="AA16" s="69">
        <v>1</v>
      </c>
      <c r="AG16" s="80"/>
    </row>
    <row r="17" spans="1:33" ht="13.9">
      <c r="A17" s="45" t="s">
        <v>251</v>
      </c>
      <c r="B17" s="46" t="s">
        <v>139</v>
      </c>
      <c r="C17" s="46">
        <v>16</v>
      </c>
      <c r="D17" s="46" t="s">
        <v>252</v>
      </c>
      <c r="E17" s="61">
        <f t="shared" si="3"/>
        <v>0.94700000000000006</v>
      </c>
      <c r="F17" s="373"/>
      <c r="K17" s="5"/>
      <c r="Q17" s="93" t="s">
        <v>257</v>
      </c>
      <c r="R17" s="94">
        <v>0.89235399590163933</v>
      </c>
      <c r="S17" s="93" t="s">
        <v>203</v>
      </c>
      <c r="W17" s="37" t="s">
        <v>328</v>
      </c>
      <c r="X17" s="44" t="s">
        <v>141</v>
      </c>
      <c r="Y17" s="44">
        <v>14</v>
      </c>
      <c r="Z17" s="44" t="s">
        <v>331</v>
      </c>
      <c r="AA17" s="69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5" thickBot="1">
      <c r="A18" s="37" t="s">
        <v>217</v>
      </c>
      <c r="B18" s="44" t="s">
        <v>140</v>
      </c>
      <c r="C18" s="44">
        <v>15</v>
      </c>
      <c r="D18" s="44" t="s">
        <v>218</v>
      </c>
      <c r="E18" s="60">
        <f t="shared" si="3"/>
        <v>0.91042888352305396</v>
      </c>
      <c r="F18" s="373"/>
      <c r="K18" s="5"/>
      <c r="Q18" s="93" t="s">
        <v>378</v>
      </c>
      <c r="R18" s="94">
        <v>0.91199977892108686</v>
      </c>
      <c r="S18" s="93" t="s">
        <v>203</v>
      </c>
      <c r="W18" s="37" t="s">
        <v>285</v>
      </c>
      <c r="X18" s="44" t="s">
        <v>141</v>
      </c>
      <c r="Y18" s="44">
        <v>14</v>
      </c>
      <c r="Z18" s="44" t="s">
        <v>286</v>
      </c>
      <c r="AA18" s="69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9">
      <c r="A19" s="37" t="s">
        <v>219</v>
      </c>
      <c r="B19" s="44" t="s">
        <v>140</v>
      </c>
      <c r="C19" s="44">
        <v>15</v>
      </c>
      <c r="D19" s="44" t="s">
        <v>220</v>
      </c>
      <c r="E19" s="60">
        <f t="shared" si="3"/>
        <v>0.86662573118314323</v>
      </c>
      <c r="F19" s="373"/>
      <c r="K19" s="5"/>
      <c r="Q19" s="93" t="s">
        <v>250</v>
      </c>
      <c r="R19" s="94">
        <v>0.71562826313957539</v>
      </c>
      <c r="S19" s="93" t="s">
        <v>204</v>
      </c>
      <c r="W19" s="37" t="s">
        <v>354</v>
      </c>
      <c r="X19" s="44" t="s">
        <v>141</v>
      </c>
      <c r="Y19" s="44">
        <v>14</v>
      </c>
      <c r="Z19" s="44" t="s">
        <v>355</v>
      </c>
      <c r="AA19" s="69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9">
      <c r="A20" s="37" t="s">
        <v>261</v>
      </c>
      <c r="B20" s="44" t="s">
        <v>140</v>
      </c>
      <c r="C20" s="44">
        <v>15</v>
      </c>
      <c r="D20" s="44" t="s">
        <v>262</v>
      </c>
      <c r="E20" s="69">
        <f t="shared" si="3"/>
        <v>0.81254016709511567</v>
      </c>
      <c r="F20" s="373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9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9">
      <c r="A21" s="37" t="s">
        <v>395</v>
      </c>
      <c r="B21" s="44" t="s">
        <v>140</v>
      </c>
      <c r="C21" s="44">
        <v>15</v>
      </c>
      <c r="D21" s="44" t="s">
        <v>396</v>
      </c>
      <c r="E21" s="60">
        <f t="shared" si="3"/>
        <v>0.83267459864721705</v>
      </c>
      <c r="F21" s="373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140</v>
      </c>
      <c r="Y21" s="44">
        <v>15</v>
      </c>
      <c r="Z21" s="44" t="s">
        <v>302</v>
      </c>
      <c r="AA21" s="69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9">
      <c r="A22" s="37" t="s">
        <v>271</v>
      </c>
      <c r="B22" s="44" t="s">
        <v>140</v>
      </c>
      <c r="C22" s="44">
        <v>15</v>
      </c>
      <c r="D22" s="44" t="s">
        <v>272</v>
      </c>
      <c r="E22" s="60">
        <f t="shared" si="3"/>
        <v>0.36101059894989318</v>
      </c>
      <c r="F22" s="373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9">
      <c r="A23" s="37" t="s">
        <v>408</v>
      </c>
      <c r="B23" s="44" t="s">
        <v>140</v>
      </c>
      <c r="C23" s="44">
        <v>15</v>
      </c>
      <c r="D23" s="44" t="s">
        <v>451</v>
      </c>
      <c r="E23" s="60">
        <f t="shared" si="3"/>
        <v>0.76017780502759058</v>
      </c>
      <c r="F23" s="373"/>
      <c r="Q23" s="93" t="s">
        <v>262</v>
      </c>
      <c r="R23" s="94">
        <v>0.81254016709511567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69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5" thickBot="1">
      <c r="A24" s="95" t="s">
        <v>394</v>
      </c>
      <c r="B24" s="96" t="s">
        <v>140</v>
      </c>
      <c r="C24" s="96">
        <v>15</v>
      </c>
      <c r="D24" s="96" t="s">
        <v>236</v>
      </c>
      <c r="E24" s="97">
        <f t="shared" si="3"/>
        <v>0.95294725244456668</v>
      </c>
      <c r="F24" s="373"/>
      <c r="Q24" s="93" t="s">
        <v>264</v>
      </c>
      <c r="R24" s="94">
        <v>0.76510407852428497</v>
      </c>
      <c r="S24" s="93" t="s">
        <v>204</v>
      </c>
      <c r="W24" s="37" t="s">
        <v>411</v>
      </c>
      <c r="X24" s="44" t="s">
        <v>173</v>
      </c>
      <c r="Y24" s="44">
        <v>12</v>
      </c>
      <c r="Z24" s="44" t="s">
        <v>412</v>
      </c>
      <c r="AA24" s="69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9">
      <c r="A25" s="37" t="s">
        <v>277</v>
      </c>
      <c r="B25" s="44" t="s">
        <v>140</v>
      </c>
      <c r="C25" s="44">
        <v>15</v>
      </c>
      <c r="D25" s="44" t="s">
        <v>278</v>
      </c>
      <c r="E25" s="60">
        <f t="shared" si="3"/>
        <v>0.76907329412838532</v>
      </c>
      <c r="F25" s="373"/>
      <c r="Q25" s="93" t="s">
        <v>455</v>
      </c>
      <c r="R25" s="94">
        <v>0.96341849943457658</v>
      </c>
      <c r="S25" s="93" t="s">
        <v>203</v>
      </c>
      <c r="W25" s="37" t="s">
        <v>305</v>
      </c>
      <c r="X25" s="44" t="s">
        <v>173</v>
      </c>
      <c r="Y25" s="44">
        <v>12</v>
      </c>
      <c r="Z25" s="44" t="s">
        <v>456</v>
      </c>
      <c r="AA25" s="69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9">
      <c r="A26" s="37" t="s">
        <v>382</v>
      </c>
      <c r="B26" s="44" t="s">
        <v>140</v>
      </c>
      <c r="C26" s="44">
        <v>15</v>
      </c>
      <c r="D26" s="44" t="s">
        <v>383</v>
      </c>
      <c r="E26" s="69">
        <f t="shared" si="3"/>
        <v>0.73349447513812149</v>
      </c>
      <c r="F26" s="373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141</v>
      </c>
      <c r="Y26" s="44">
        <v>14</v>
      </c>
      <c r="Z26" s="44" t="s">
        <v>282</v>
      </c>
      <c r="AA26" s="69">
        <v>0.99126425624848336</v>
      </c>
      <c r="AG26" s="80"/>
    </row>
    <row r="27" spans="1:33" ht="13.9">
      <c r="A27" s="37" t="s">
        <v>301</v>
      </c>
      <c r="B27" s="44" t="s">
        <v>140</v>
      </c>
      <c r="C27" s="44">
        <v>15</v>
      </c>
      <c r="D27" s="44" t="s">
        <v>302</v>
      </c>
      <c r="E27" s="60">
        <f t="shared" si="3"/>
        <v>0.99967409016838671</v>
      </c>
      <c r="F27" s="373"/>
      <c r="Q27" s="93" t="s">
        <v>368</v>
      </c>
      <c r="R27" s="94">
        <v>1.0292149475019923</v>
      </c>
      <c r="S27" s="93" t="s">
        <v>203</v>
      </c>
      <c r="W27" s="37" t="s">
        <v>389</v>
      </c>
      <c r="X27" s="44" t="s">
        <v>141</v>
      </c>
      <c r="Y27" s="44">
        <v>14</v>
      </c>
      <c r="Z27" s="44" t="s">
        <v>390</v>
      </c>
      <c r="AA27" s="69">
        <v>0.98872477714287255</v>
      </c>
      <c r="AG27" s="80"/>
    </row>
    <row r="28" spans="1:33" ht="13.9">
      <c r="A28" s="37" t="s">
        <v>243</v>
      </c>
      <c r="B28" s="44" t="s">
        <v>140</v>
      </c>
      <c r="C28" s="44">
        <v>15</v>
      </c>
      <c r="D28" s="44" t="s">
        <v>244</v>
      </c>
      <c r="E28" s="69">
        <f t="shared" si="3"/>
        <v>0.61841824770837783</v>
      </c>
      <c r="F28" s="373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11.5</v>
      </c>
      <c r="AG28" s="79"/>
    </row>
    <row r="29" spans="1:33" ht="14.45" thickBot="1">
      <c r="A29" s="37" t="s">
        <v>427</v>
      </c>
      <c r="B29" s="44" t="s">
        <v>140</v>
      </c>
      <c r="C29" s="44">
        <v>15</v>
      </c>
      <c r="D29" s="44" t="s">
        <v>428</v>
      </c>
      <c r="E29" s="60">
        <f t="shared" si="3"/>
        <v>0.85816623707026407</v>
      </c>
      <c r="F29" s="373"/>
      <c r="Q29" s="93" t="s">
        <v>457</v>
      </c>
      <c r="R29" s="94">
        <v>0.11951366732775717</v>
      </c>
      <c r="S29" s="93" t="s">
        <v>194</v>
      </c>
      <c r="W29" s="37" t="s">
        <v>283</v>
      </c>
      <c r="X29" s="44" t="s">
        <v>141</v>
      </c>
      <c r="Y29" s="44">
        <v>14</v>
      </c>
      <c r="Z29" s="44" t="s">
        <v>284</v>
      </c>
      <c r="AA29" s="69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9">
      <c r="A30" s="37" t="s">
        <v>347</v>
      </c>
      <c r="B30" s="44" t="s">
        <v>140</v>
      </c>
      <c r="C30" s="44">
        <v>15</v>
      </c>
      <c r="D30" s="44" t="s">
        <v>348</v>
      </c>
      <c r="E30" s="60">
        <f t="shared" si="3"/>
        <v>0.77444478716841458</v>
      </c>
      <c r="F30" s="373"/>
      <c r="Q30" s="93" t="s">
        <v>266</v>
      </c>
      <c r="R30" s="94">
        <v>0.7886228860092247</v>
      </c>
      <c r="S30" s="93" t="s">
        <v>204</v>
      </c>
      <c r="W30" s="37" t="s">
        <v>345</v>
      </c>
      <c r="X30" s="44" t="s">
        <v>139</v>
      </c>
      <c r="Y30" s="44">
        <v>16</v>
      </c>
      <c r="Z30" s="44" t="s">
        <v>346</v>
      </c>
      <c r="AA30" s="69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9">
      <c r="A31" s="37" t="s">
        <v>291</v>
      </c>
      <c r="B31" s="44" t="s">
        <v>140</v>
      </c>
      <c r="C31" s="44">
        <v>15</v>
      </c>
      <c r="D31" s="44" t="s">
        <v>292</v>
      </c>
      <c r="E31" s="60">
        <f t="shared" si="3"/>
        <v>0.66251692368655679</v>
      </c>
      <c r="F31" s="373"/>
      <c r="K31" s="122"/>
      <c r="L31" s="122"/>
      <c r="Q31" s="93" t="s">
        <v>268</v>
      </c>
      <c r="R31" s="94">
        <v>0.80341264723043471</v>
      </c>
      <c r="S31" s="93" t="s">
        <v>203</v>
      </c>
      <c r="W31" s="37" t="s">
        <v>458</v>
      </c>
      <c r="X31" s="44" t="s">
        <v>173</v>
      </c>
      <c r="Y31" s="44">
        <v>12</v>
      </c>
      <c r="Z31" s="44" t="s">
        <v>459</v>
      </c>
      <c r="AA31" s="69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9">
      <c r="A32" s="95" t="s">
        <v>369</v>
      </c>
      <c r="B32" s="96" t="s">
        <v>140</v>
      </c>
      <c r="C32" s="96">
        <v>15</v>
      </c>
      <c r="D32" s="96" t="s">
        <v>375</v>
      </c>
      <c r="E32" s="97">
        <f t="shared" si="3"/>
        <v>0.93843994106691131</v>
      </c>
      <c r="F32" s="373"/>
      <c r="L32" s="122"/>
      <c r="Q32" s="93" t="s">
        <v>270</v>
      </c>
      <c r="R32" s="94">
        <v>0.58646630934150079</v>
      </c>
      <c r="S32" s="93" t="s">
        <v>204</v>
      </c>
      <c r="W32" s="37" t="s">
        <v>222</v>
      </c>
      <c r="X32" s="44" t="s">
        <v>141</v>
      </c>
      <c r="Y32" s="44">
        <v>14</v>
      </c>
      <c r="Z32" s="44" t="s">
        <v>223</v>
      </c>
      <c r="AA32" s="69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9">
      <c r="A33" s="45" t="s">
        <v>222</v>
      </c>
      <c r="B33" s="46" t="s">
        <v>141</v>
      </c>
      <c r="C33" s="46">
        <v>14</v>
      </c>
      <c r="D33" s="46" t="s">
        <v>223</v>
      </c>
      <c r="E33" s="61">
        <f t="shared" si="3"/>
        <v>0.96680210088197405</v>
      </c>
      <c r="F33" s="373"/>
      <c r="L33" s="122"/>
      <c r="Q33" s="93" t="s">
        <v>276</v>
      </c>
      <c r="R33" s="94">
        <v>0.64970550208303401</v>
      </c>
      <c r="S33" s="93" t="s">
        <v>204</v>
      </c>
      <c r="W33" s="37" t="s">
        <v>460</v>
      </c>
      <c r="X33" s="44" t="s">
        <v>139</v>
      </c>
      <c r="Y33" s="44">
        <v>16</v>
      </c>
      <c r="Z33" s="44" t="s">
        <v>455</v>
      </c>
      <c r="AA33" s="69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9">
      <c r="A34" s="45" t="s">
        <v>238</v>
      </c>
      <c r="B34" s="46" t="s">
        <v>141</v>
      </c>
      <c r="C34" s="46">
        <v>14</v>
      </c>
      <c r="D34" s="46" t="s">
        <v>239</v>
      </c>
      <c r="E34" s="61">
        <f t="shared" si="3"/>
        <v>0.91095138568993894</v>
      </c>
      <c r="F34" s="373"/>
      <c r="L34" s="122"/>
      <c r="Q34" s="93" t="s">
        <v>353</v>
      </c>
      <c r="R34" s="94">
        <v>1.0379329114785329</v>
      </c>
      <c r="S34" s="93" t="s">
        <v>203</v>
      </c>
      <c r="W34" s="37" t="s">
        <v>394</v>
      </c>
      <c r="X34" s="44" t="s">
        <v>140</v>
      </c>
      <c r="Y34" s="44">
        <v>15</v>
      </c>
      <c r="Z34" s="44" t="s">
        <v>236</v>
      </c>
      <c r="AA34" s="69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5" thickBot="1">
      <c r="A35" s="45" t="s">
        <v>249</v>
      </c>
      <c r="B35" s="46" t="s">
        <v>141</v>
      </c>
      <c r="C35" s="46">
        <v>14</v>
      </c>
      <c r="D35" s="46" t="s">
        <v>250</v>
      </c>
      <c r="E35" s="61">
        <f t="shared" si="3"/>
        <v>0.71562826313957539</v>
      </c>
      <c r="F35" s="373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37" t="s">
        <v>251</v>
      </c>
      <c r="X35" s="44" t="s">
        <v>139</v>
      </c>
      <c r="Y35" s="44">
        <v>16</v>
      </c>
      <c r="Z35" s="44" t="s">
        <v>252</v>
      </c>
      <c r="AA35" s="69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9">
      <c r="A36" s="45" t="s">
        <v>254</v>
      </c>
      <c r="B36" s="46" t="s">
        <v>141</v>
      </c>
      <c r="C36" s="46">
        <v>14</v>
      </c>
      <c r="D36" s="46" t="s">
        <v>378</v>
      </c>
      <c r="E36" s="61">
        <f t="shared" si="3"/>
        <v>0.91199977892108686</v>
      </c>
      <c r="F36" s="373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37" t="s">
        <v>369</v>
      </c>
      <c r="X36" s="44" t="s">
        <v>140</v>
      </c>
      <c r="Y36" s="44">
        <v>15</v>
      </c>
      <c r="Z36" s="44" t="s">
        <v>375</v>
      </c>
      <c r="AA36" s="69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9">
      <c r="A37" s="45" t="s">
        <v>328</v>
      </c>
      <c r="B37" s="46" t="s">
        <v>141</v>
      </c>
      <c r="C37" s="46">
        <v>14</v>
      </c>
      <c r="D37" s="46" t="s">
        <v>331</v>
      </c>
      <c r="E37" s="61">
        <f t="shared" si="3"/>
        <v>1</v>
      </c>
      <c r="F37" s="373"/>
      <c r="H37" s="5"/>
      <c r="J37" s="7"/>
      <c r="Q37" s="93" t="s">
        <v>220</v>
      </c>
      <c r="R37" s="94">
        <v>0.86662573118314323</v>
      </c>
      <c r="S37" s="93" t="s">
        <v>203</v>
      </c>
      <c r="W37" s="37" t="s">
        <v>303</v>
      </c>
      <c r="X37" s="44" t="s">
        <v>177</v>
      </c>
      <c r="Y37" s="44">
        <v>10</v>
      </c>
      <c r="Z37" s="44" t="s">
        <v>304</v>
      </c>
      <c r="AA37" s="69">
        <v>0.93520619672453054</v>
      </c>
    </row>
    <row r="38" spans="1:31" ht="13.9">
      <c r="A38" s="45" t="s">
        <v>267</v>
      </c>
      <c r="B38" s="46" t="s">
        <v>141</v>
      </c>
      <c r="C38" s="46">
        <v>14</v>
      </c>
      <c r="D38" s="46" t="s">
        <v>268</v>
      </c>
      <c r="E38" s="61">
        <f t="shared" si="3"/>
        <v>0.80341264723043471</v>
      </c>
      <c r="F38" s="373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9">
        <v>0.92936836749527552</v>
      </c>
    </row>
    <row r="39" spans="1:31" ht="13.9">
      <c r="A39" s="45" t="s">
        <v>269</v>
      </c>
      <c r="B39" s="46" t="s">
        <v>141</v>
      </c>
      <c r="C39" s="46">
        <v>14</v>
      </c>
      <c r="D39" s="46" t="s">
        <v>270</v>
      </c>
      <c r="E39" s="61">
        <f t="shared" si="3"/>
        <v>0.58646630934150079</v>
      </c>
      <c r="F39" s="373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139</v>
      </c>
      <c r="Y39" s="44">
        <v>16</v>
      </c>
      <c r="Z39" s="44" t="s">
        <v>248</v>
      </c>
      <c r="AA39" s="69">
        <v>0.91865112788863534</v>
      </c>
    </row>
    <row r="40" spans="1:31" ht="13.9">
      <c r="A40" s="45" t="s">
        <v>352</v>
      </c>
      <c r="B40" s="46" t="s">
        <v>141</v>
      </c>
      <c r="C40" s="46">
        <v>14</v>
      </c>
      <c r="D40" s="46" t="s">
        <v>353</v>
      </c>
      <c r="E40" s="61">
        <f t="shared" si="3"/>
        <v>1.0379329114785329</v>
      </c>
      <c r="F40" s="373"/>
      <c r="H40" s="5"/>
      <c r="J40" s="8"/>
      <c r="Q40" s="93" t="s">
        <v>241</v>
      </c>
      <c r="R40" s="94">
        <v>0.541533003736272</v>
      </c>
      <c r="S40" s="93" t="s">
        <v>204</v>
      </c>
      <c r="W40" s="37" t="s">
        <v>254</v>
      </c>
      <c r="X40" s="44" t="s">
        <v>141</v>
      </c>
      <c r="Y40" s="44">
        <v>14</v>
      </c>
      <c r="Z40" s="44" t="s">
        <v>378</v>
      </c>
      <c r="AA40" s="69">
        <v>0.91199977892108686</v>
      </c>
    </row>
    <row r="41" spans="1:31" ht="13.9">
      <c r="A41" s="45" t="s">
        <v>283</v>
      </c>
      <c r="B41" s="46" t="s">
        <v>141</v>
      </c>
      <c r="C41" s="46">
        <v>14</v>
      </c>
      <c r="D41" s="46" t="s">
        <v>284</v>
      </c>
      <c r="E41" s="61">
        <f t="shared" si="3"/>
        <v>0.97697589100213744</v>
      </c>
      <c r="F41" s="373"/>
      <c r="H41" s="5"/>
      <c r="J41" s="8"/>
      <c r="Q41" s="93" t="s">
        <v>274</v>
      </c>
      <c r="R41" s="94">
        <v>0.57845507252191697</v>
      </c>
      <c r="S41" s="93" t="s">
        <v>204</v>
      </c>
      <c r="W41" s="37" t="s">
        <v>238</v>
      </c>
      <c r="X41" s="44" t="s">
        <v>141</v>
      </c>
      <c r="Y41" s="44">
        <v>14</v>
      </c>
      <c r="Z41" s="44" t="s">
        <v>239</v>
      </c>
      <c r="AA41" s="69">
        <v>0.91095138568993894</v>
      </c>
    </row>
    <row r="42" spans="1:31" ht="13.9">
      <c r="A42" s="45" t="s">
        <v>297</v>
      </c>
      <c r="B42" s="46" t="s">
        <v>141</v>
      </c>
      <c r="C42" s="46">
        <v>14</v>
      </c>
      <c r="D42" s="46" t="s">
        <v>298</v>
      </c>
      <c r="E42" s="61">
        <f t="shared" si="3"/>
        <v>0.99569209153466032</v>
      </c>
      <c r="F42" s="373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9">
        <v>0.91042888352305396</v>
      </c>
    </row>
    <row r="43" spans="1:31" ht="13.9">
      <c r="A43" s="95" t="s">
        <v>281</v>
      </c>
      <c r="B43" s="96" t="s">
        <v>141</v>
      </c>
      <c r="C43" s="96">
        <v>14</v>
      </c>
      <c r="D43" s="96" t="s">
        <v>282</v>
      </c>
      <c r="E43" s="97">
        <f t="shared" si="3"/>
        <v>0.99126425624848336</v>
      </c>
      <c r="F43" s="373"/>
      <c r="Q43" s="93" t="s">
        <v>236</v>
      </c>
      <c r="R43" s="94">
        <v>0.95294725244456668</v>
      </c>
      <c r="S43" s="93" t="s">
        <v>203</v>
      </c>
      <c r="W43" s="37" t="s">
        <v>227</v>
      </c>
      <c r="X43" s="44" t="s">
        <v>139</v>
      </c>
      <c r="Y43" s="44">
        <v>16</v>
      </c>
      <c r="Z43" s="44" t="s">
        <v>228</v>
      </c>
      <c r="AA43" s="69">
        <v>0.89318320146074259</v>
      </c>
    </row>
    <row r="44" spans="1:31" ht="13.9">
      <c r="A44" s="45" t="s">
        <v>285</v>
      </c>
      <c r="B44" s="46" t="s">
        <v>141</v>
      </c>
      <c r="C44" s="46">
        <v>14</v>
      </c>
      <c r="D44" s="46" t="s">
        <v>286</v>
      </c>
      <c r="E44" s="61">
        <f t="shared" si="3"/>
        <v>1</v>
      </c>
      <c r="F44" s="373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9">
        <v>0.89235399590163933</v>
      </c>
    </row>
    <row r="45" spans="1:31" ht="13.9">
      <c r="A45" s="45" t="s">
        <v>289</v>
      </c>
      <c r="B45" s="46" t="s">
        <v>141</v>
      </c>
      <c r="C45" s="46">
        <v>14</v>
      </c>
      <c r="D45" s="46" t="s">
        <v>290</v>
      </c>
      <c r="E45" s="61">
        <f t="shared" si="3"/>
        <v>0.5641445718679996</v>
      </c>
      <c r="F45" s="373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9">
        <v>0.89001113183270453</v>
      </c>
    </row>
    <row r="46" spans="1:31" ht="13.9">
      <c r="A46" s="45" t="s">
        <v>389</v>
      </c>
      <c r="B46" s="46" t="s">
        <v>141</v>
      </c>
      <c r="C46" s="46">
        <v>14</v>
      </c>
      <c r="D46" s="46" t="s">
        <v>390</v>
      </c>
      <c r="E46" s="61">
        <f t="shared" si="3"/>
        <v>0.98872477714287255</v>
      </c>
      <c r="F46" s="373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9">
        <v>0.86662573118314323</v>
      </c>
    </row>
    <row r="47" spans="1:31" ht="13.9">
      <c r="A47" s="45" t="s">
        <v>354</v>
      </c>
      <c r="B47" s="46" t="s">
        <v>141</v>
      </c>
      <c r="C47" s="46">
        <v>14</v>
      </c>
      <c r="D47" s="46" t="s">
        <v>355</v>
      </c>
      <c r="E47" s="61">
        <f t="shared" ref="E47:E67" si="6">VLOOKUP($D47,$Q$7:$R$68,2,0)</f>
        <v>1</v>
      </c>
      <c r="F47" s="373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9">
        <v>0.85816623707026407</v>
      </c>
    </row>
    <row r="48" spans="1:31" ht="13.9">
      <c r="A48" s="37" t="s">
        <v>225</v>
      </c>
      <c r="B48" s="44" t="s">
        <v>142</v>
      </c>
      <c r="C48" s="44">
        <v>13</v>
      </c>
      <c r="D48" s="44" t="s">
        <v>226</v>
      </c>
      <c r="E48" s="60">
        <f t="shared" si="6"/>
        <v>0.84669359982989578</v>
      </c>
      <c r="F48" s="373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9">
        <v>0.84669359982989578</v>
      </c>
    </row>
    <row r="49" spans="1:27" ht="13.9">
      <c r="A49" s="37" t="s">
        <v>245</v>
      </c>
      <c r="B49" s="44" t="s">
        <v>142</v>
      </c>
      <c r="C49" s="44">
        <v>13</v>
      </c>
      <c r="D49" s="44" t="s">
        <v>246</v>
      </c>
      <c r="E49" s="60">
        <f t="shared" si="6"/>
        <v>0.68875112521618576</v>
      </c>
      <c r="F49" s="373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9">
        <v>0.83267459864721705</v>
      </c>
    </row>
    <row r="50" spans="1:27" ht="13.9">
      <c r="A50" s="37" t="s">
        <v>256</v>
      </c>
      <c r="B50" s="44" t="s">
        <v>142</v>
      </c>
      <c r="C50" s="44">
        <v>13</v>
      </c>
      <c r="D50" s="44" t="s">
        <v>257</v>
      </c>
      <c r="E50" s="60">
        <f t="shared" si="6"/>
        <v>0.89235399590163933</v>
      </c>
      <c r="F50" s="373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9">
      <c r="A51" s="37" t="s">
        <v>463</v>
      </c>
      <c r="B51" s="44" t="s">
        <v>142</v>
      </c>
      <c r="C51" s="44">
        <v>13</v>
      </c>
      <c r="D51" s="44" t="s">
        <v>452</v>
      </c>
      <c r="E51" s="69">
        <f t="shared" si="6"/>
        <v>0.33305692234682915</v>
      </c>
      <c r="F51" s="373"/>
      <c r="I51" s="122"/>
      <c r="J51" s="122"/>
      <c r="Q51" s="93" t="s">
        <v>304</v>
      </c>
      <c r="R51" s="94">
        <v>0.93520619672453054</v>
      </c>
      <c r="S51" s="93" t="s">
        <v>203</v>
      </c>
      <c r="W51" s="37" t="s">
        <v>267</v>
      </c>
      <c r="X51" s="44" t="s">
        <v>141</v>
      </c>
      <c r="Y51" s="44">
        <v>14</v>
      </c>
      <c r="Z51" s="44" t="s">
        <v>268</v>
      </c>
      <c r="AA51" s="69">
        <v>0.80341264723043471</v>
      </c>
    </row>
    <row r="52" spans="1:27" ht="13.9">
      <c r="A52" s="37" t="s">
        <v>265</v>
      </c>
      <c r="B52" s="44" t="s">
        <v>142</v>
      </c>
      <c r="C52" s="44">
        <v>13</v>
      </c>
      <c r="D52" s="44" t="s">
        <v>266</v>
      </c>
      <c r="E52" s="60">
        <f t="shared" si="6"/>
        <v>0.7886228860092247</v>
      </c>
      <c r="F52" s="373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9">
        <v>0.7886228860092247</v>
      </c>
    </row>
    <row r="53" spans="1:27" ht="13.9">
      <c r="A53" s="37" t="s">
        <v>367</v>
      </c>
      <c r="B53" s="44" t="s">
        <v>142</v>
      </c>
      <c r="C53" s="44">
        <v>13</v>
      </c>
      <c r="D53" s="44" t="s">
        <v>368</v>
      </c>
      <c r="E53" s="60">
        <f t="shared" si="6"/>
        <v>1.0292149475019923</v>
      </c>
      <c r="F53" s="373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9">
        <v>0.78418126509511765</v>
      </c>
    </row>
    <row r="54" spans="1:27" ht="13.9">
      <c r="A54" s="37" t="s">
        <v>275</v>
      </c>
      <c r="B54" s="44" t="s">
        <v>142</v>
      </c>
      <c r="C54" s="44">
        <v>13</v>
      </c>
      <c r="D54" s="44" t="s">
        <v>276</v>
      </c>
      <c r="E54" s="60">
        <f t="shared" si="6"/>
        <v>0.64970550208303401</v>
      </c>
      <c r="F54" s="373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9">
        <v>0.77444478716841458</v>
      </c>
    </row>
    <row r="55" spans="1:27" ht="13.9">
      <c r="A55" s="37" t="s">
        <v>279</v>
      </c>
      <c r="B55" s="44" t="s">
        <v>142</v>
      </c>
      <c r="C55" s="44">
        <v>13</v>
      </c>
      <c r="D55" s="44" t="s">
        <v>280</v>
      </c>
      <c r="E55" s="69">
        <f t="shared" si="6"/>
        <v>0.47637430521244206</v>
      </c>
      <c r="F55" s="373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9">
        <v>0.76907329412838532</v>
      </c>
    </row>
    <row r="56" spans="1:27" ht="13.9">
      <c r="A56" s="37" t="s">
        <v>287</v>
      </c>
      <c r="B56" s="44" t="s">
        <v>142</v>
      </c>
      <c r="C56" s="44">
        <v>13</v>
      </c>
      <c r="D56" s="44" t="s">
        <v>441</v>
      </c>
      <c r="E56" s="60">
        <f t="shared" si="6"/>
        <v>1</v>
      </c>
      <c r="F56" s="373"/>
      <c r="Q56" s="93" t="s">
        <v>456</v>
      </c>
      <c r="R56" s="94">
        <v>0.99461817608484948</v>
      </c>
      <c r="S56" s="93" t="s">
        <v>203</v>
      </c>
      <c r="W56" s="37" t="s">
        <v>263</v>
      </c>
      <c r="X56" s="44" t="s">
        <v>139</v>
      </c>
      <c r="Y56" s="44">
        <v>16</v>
      </c>
      <c r="Z56" s="44" t="s">
        <v>264</v>
      </c>
      <c r="AA56" s="69">
        <v>0.76510407852428497</v>
      </c>
    </row>
    <row r="57" spans="1:27" ht="13.9">
      <c r="A57" s="37" t="s">
        <v>273</v>
      </c>
      <c r="B57" s="44" t="s">
        <v>142</v>
      </c>
      <c r="C57" s="44">
        <v>13</v>
      </c>
      <c r="D57" s="44" t="s">
        <v>274</v>
      </c>
      <c r="E57" s="60">
        <f t="shared" si="6"/>
        <v>0.57845507252191697</v>
      </c>
      <c r="F57" s="373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9">
        <v>0.76017780502759058</v>
      </c>
    </row>
    <row r="58" spans="1:27" ht="13.9">
      <c r="A58" s="37" t="s">
        <v>299</v>
      </c>
      <c r="B58" s="44" t="s">
        <v>142</v>
      </c>
      <c r="C58" s="44">
        <v>13</v>
      </c>
      <c r="D58" s="44" t="s">
        <v>300</v>
      </c>
      <c r="E58" s="60">
        <f t="shared" si="6"/>
        <v>0.62481029959532464</v>
      </c>
      <c r="F58" s="373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9">
      <c r="A59" s="45" t="s">
        <v>305</v>
      </c>
      <c r="B59" s="46" t="s">
        <v>173</v>
      </c>
      <c r="C59" s="46">
        <v>12</v>
      </c>
      <c r="D59" s="46" t="s">
        <v>456</v>
      </c>
      <c r="E59" s="61">
        <f t="shared" si="6"/>
        <v>0.99461817608484948</v>
      </c>
      <c r="F59" s="373"/>
      <c r="Q59" s="93" t="s">
        <v>292</v>
      </c>
      <c r="R59" s="94">
        <v>0.66251692368655679</v>
      </c>
      <c r="S59" s="93" t="s">
        <v>204</v>
      </c>
      <c r="W59" s="37" t="s">
        <v>249</v>
      </c>
      <c r="X59" s="44" t="s">
        <v>141</v>
      </c>
      <c r="Y59" s="44">
        <v>14</v>
      </c>
      <c r="Z59" s="44" t="s">
        <v>250</v>
      </c>
      <c r="AA59" s="69">
        <v>0.71562826313957539</v>
      </c>
    </row>
    <row r="60" spans="1:27" ht="13.9">
      <c r="A60" s="45" t="s">
        <v>411</v>
      </c>
      <c r="B60" s="46" t="s">
        <v>173</v>
      </c>
      <c r="C60" s="46">
        <v>12</v>
      </c>
      <c r="D60" s="46" t="s">
        <v>412</v>
      </c>
      <c r="E60" s="61">
        <f t="shared" si="6"/>
        <v>0.99533285779852521</v>
      </c>
      <c r="F60" s="373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9">
        <v>0.68875112521618576</v>
      </c>
    </row>
    <row r="61" spans="1:27" ht="13.9">
      <c r="A61" s="45" t="s">
        <v>303</v>
      </c>
      <c r="B61" s="46" t="s">
        <v>177</v>
      </c>
      <c r="C61" s="46">
        <v>10</v>
      </c>
      <c r="D61" s="46" t="s">
        <v>304</v>
      </c>
      <c r="E61" s="61">
        <f t="shared" si="6"/>
        <v>0.93520619672453054</v>
      </c>
      <c r="F61" s="373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9">
        <v>0.66251692368655679</v>
      </c>
    </row>
    <row r="62" spans="1:27" ht="14.45" thickBot="1">
      <c r="A62" s="150" t="s">
        <v>371</v>
      </c>
      <c r="B62" s="151" t="s">
        <v>187</v>
      </c>
      <c r="C62" s="151">
        <v>5</v>
      </c>
      <c r="D62" s="151" t="s">
        <v>457</v>
      </c>
      <c r="E62" s="152">
        <f t="shared" si="6"/>
        <v>0.11951366732775717</v>
      </c>
      <c r="F62" s="373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9">
        <v>0.64970550208303401</v>
      </c>
    </row>
    <row r="63" spans="1:27" ht="13.9">
      <c r="A63" s="37" t="s">
        <v>464</v>
      </c>
      <c r="B63" s="44" t="s">
        <v>162</v>
      </c>
      <c r="C63" s="44">
        <v>19</v>
      </c>
      <c r="D63" s="44" t="s">
        <v>461</v>
      </c>
      <c r="E63" s="60">
        <f t="shared" si="6"/>
        <v>0.78418126509511765</v>
      </c>
      <c r="F63" s="373"/>
      <c r="Q63" s="93" t="s">
        <v>459</v>
      </c>
      <c r="R63" s="94">
        <v>0.97036252976978032</v>
      </c>
      <c r="S63" s="93" t="s">
        <v>203</v>
      </c>
      <c r="W63" s="37" t="s">
        <v>361</v>
      </c>
      <c r="X63" s="44" t="s">
        <v>139</v>
      </c>
      <c r="Y63" s="44">
        <v>16</v>
      </c>
      <c r="Z63" s="44" t="s">
        <v>194</v>
      </c>
      <c r="AA63" s="69">
        <v>0.63157463237392464</v>
      </c>
    </row>
    <row r="64" spans="1:27" ht="13.9">
      <c r="A64" s="37" t="s">
        <v>462</v>
      </c>
      <c r="B64" s="44" t="s">
        <v>166</v>
      </c>
      <c r="C64" s="44">
        <v>17</v>
      </c>
      <c r="D64" s="44" t="s">
        <v>453</v>
      </c>
      <c r="E64" s="60">
        <f t="shared" si="6"/>
        <v>0.89001113183270453</v>
      </c>
      <c r="F64" s="373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9">
        <v>0.62875460562079877</v>
      </c>
    </row>
    <row r="65" spans="1:27" ht="13.9">
      <c r="A65" s="45" t="s">
        <v>458</v>
      </c>
      <c r="B65" s="46" t="s">
        <v>173</v>
      </c>
      <c r="C65" s="46">
        <v>12</v>
      </c>
      <c r="D65" s="46" t="s">
        <v>459</v>
      </c>
      <c r="E65" s="61">
        <f t="shared" si="6"/>
        <v>0.97036252976978032</v>
      </c>
      <c r="F65" s="373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9">
        <v>0.62481029959532464</v>
      </c>
    </row>
    <row r="66" spans="1:27" ht="13.9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140</v>
      </c>
      <c r="Y66" s="44">
        <v>15</v>
      </c>
      <c r="Z66" s="44" t="s">
        <v>244</v>
      </c>
      <c r="AA66" s="69">
        <v>0.61841824770837783</v>
      </c>
    </row>
    <row r="67" spans="1:27" ht="14.45" thickBot="1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37" t="s">
        <v>269</v>
      </c>
      <c r="X67" s="44" t="s">
        <v>141</v>
      </c>
      <c r="Y67" s="44">
        <v>14</v>
      </c>
      <c r="Z67" s="44" t="s">
        <v>270</v>
      </c>
      <c r="AA67" s="69">
        <v>0.58646630934150079</v>
      </c>
    </row>
    <row r="68" spans="1:27" ht="13.9">
      <c r="A68" s="41" t="s">
        <v>311</v>
      </c>
      <c r="B68" s="43" t="s">
        <v>141</v>
      </c>
      <c r="C68" s="42">
        <f>AVERAGE(C7:C62)</f>
        <v>14.214285714285714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9">
        <v>0.57845507252191697</v>
      </c>
    </row>
    <row r="69" spans="1:27" ht="13.9">
      <c r="A69" s="3"/>
      <c r="B69" s="3"/>
      <c r="F69" s="5"/>
      <c r="Q69" s="93"/>
      <c r="R69" s="94"/>
      <c r="S69" s="93"/>
      <c r="W69" s="37" t="s">
        <v>289</v>
      </c>
      <c r="X69" s="44" t="s">
        <v>141</v>
      </c>
      <c r="Y69" s="44">
        <v>14</v>
      </c>
      <c r="Z69" s="44" t="s">
        <v>290</v>
      </c>
      <c r="AA69" s="69">
        <v>0.5641445718679996</v>
      </c>
    </row>
    <row r="70" spans="1:27" ht="13.9">
      <c r="A70" s="3"/>
      <c r="B70" s="3"/>
      <c r="F70" s="9"/>
      <c r="G70" s="122"/>
      <c r="Q70" s="93"/>
      <c r="R70" s="94"/>
      <c r="S70" s="93"/>
      <c r="W70" s="37" t="s">
        <v>240</v>
      </c>
      <c r="X70" s="44" t="s">
        <v>139</v>
      </c>
      <c r="Y70" s="44">
        <v>16</v>
      </c>
      <c r="Z70" s="44" t="s">
        <v>241</v>
      </c>
      <c r="AA70" s="69">
        <v>0.541533003736272</v>
      </c>
    </row>
    <row r="71" spans="1:27" ht="13.9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9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9">
        <v>0.36101059894989318</v>
      </c>
    </row>
    <row r="73" spans="1:27" ht="13.9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5" thickBot="1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187</v>
      </c>
      <c r="Y74" s="57">
        <v>5</v>
      </c>
      <c r="Z74" s="57" t="s">
        <v>457</v>
      </c>
      <c r="AA74" s="111">
        <v>0.11951366732775717</v>
      </c>
    </row>
    <row r="75" spans="1:27" ht="13.9">
      <c r="A75" s="85" t="s">
        <v>466</v>
      </c>
      <c r="D75" s="9"/>
      <c r="F75" s="87"/>
      <c r="Q75" s="49"/>
      <c r="R75" s="58"/>
      <c r="S75" s="49"/>
    </row>
    <row r="76" spans="1:27" ht="13.9">
      <c r="A76" s="48" t="s">
        <v>315</v>
      </c>
      <c r="D76" s="9"/>
      <c r="Q76" s="49"/>
      <c r="R76" s="58"/>
      <c r="S76" s="49"/>
    </row>
    <row r="77" spans="1:27" ht="13.9">
      <c r="A77" s="48"/>
      <c r="D77" s="9"/>
      <c r="Q77" s="49"/>
      <c r="R77" s="59"/>
      <c r="S77" s="49"/>
    </row>
    <row r="78" spans="1:27">
      <c r="A78" s="48"/>
    </row>
    <row r="79" spans="1:27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>
      <c r="A80"/>
      <c r="B80"/>
      <c r="C80"/>
      <c r="D80"/>
      <c r="E80"/>
      <c r="F80"/>
      <c r="Q80"/>
      <c r="R80"/>
      <c r="S80"/>
      <c r="AA80" s="88"/>
    </row>
    <row r="81" spans="1:27" s="86" customFormat="1">
      <c r="AA81" s="88"/>
    </row>
    <row r="82" spans="1:27" s="86" customFormat="1">
      <c r="A82"/>
      <c r="B82"/>
      <c r="C82"/>
      <c r="D82"/>
      <c r="E82"/>
      <c r="F82"/>
      <c r="G82"/>
      <c r="W82"/>
      <c r="X82"/>
      <c r="Y82"/>
      <c r="Z82"/>
      <c r="AA82"/>
    </row>
    <row r="83" spans="1:27">
      <c r="Q83" s="86"/>
      <c r="R83" s="86"/>
      <c r="S83" s="86"/>
      <c r="AA83"/>
    </row>
    <row r="84" spans="1:27">
      <c r="AA84"/>
    </row>
    <row r="87" spans="1:27">
      <c r="E87" s="74"/>
    </row>
    <row r="88" spans="1:27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0">
    <tabColor rgb="FF002060"/>
    <pageSetUpPr fitToPage="1"/>
  </sheetPr>
  <dimension ref="A1:AH84"/>
  <sheetViews>
    <sheetView zoomScale="85" zoomScaleNormal="85" workbookViewId="0"/>
  </sheetViews>
  <sheetFormatPr defaultColWidth="9.140625" defaultRowHeight="13.15" outlineLevelCol="1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">
      <c r="A1" s="40" t="s">
        <v>471</v>
      </c>
    </row>
    <row r="2" spans="1:33" ht="18">
      <c r="A2" s="40"/>
    </row>
    <row r="3" spans="1:33" ht="18">
      <c r="A3" s="40"/>
    </row>
    <row r="4" spans="1:33" ht="18">
      <c r="A4" s="40"/>
    </row>
    <row r="5" spans="1:33" ht="13.9">
      <c r="E5" s="65" t="s">
        <v>434</v>
      </c>
      <c r="AA5" s="65" t="s">
        <v>434</v>
      </c>
      <c r="AF5" s="82" t="s">
        <v>435</v>
      </c>
      <c r="AG5" s="81"/>
    </row>
    <row r="6" spans="1:33" ht="13.9">
      <c r="A6" s="101" t="s">
        <v>212</v>
      </c>
      <c r="B6" s="102" t="s">
        <v>472</v>
      </c>
      <c r="C6" s="103"/>
      <c r="D6" s="103"/>
      <c r="E6" s="104">
        <v>40543</v>
      </c>
      <c r="W6" s="101" t="s">
        <v>212</v>
      </c>
      <c r="X6" s="102" t="s">
        <v>472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14.324324324324325</v>
      </c>
      <c r="AG6" s="79"/>
    </row>
    <row r="7" spans="1:33" ht="14.45" thickBot="1">
      <c r="A7" s="45" t="s">
        <v>431</v>
      </c>
      <c r="B7" s="46" t="s">
        <v>164</v>
      </c>
      <c r="C7" s="46">
        <v>18</v>
      </c>
      <c r="D7" s="46" t="s">
        <v>432</v>
      </c>
      <c r="E7" s="61">
        <f t="shared" ref="E7:E14" si="0">VLOOKUP($D7,$Q$7:$R$68,2,0)</f>
        <v>1</v>
      </c>
      <c r="F7" s="373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45" t="s">
        <v>437</v>
      </c>
      <c r="X7" s="46" t="s">
        <v>139</v>
      </c>
      <c r="Y7" s="46">
        <v>16</v>
      </c>
      <c r="Z7" s="46" t="s">
        <v>438</v>
      </c>
      <c r="AA7" s="61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9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si="0"/>
        <v>0.92936836749527552</v>
      </c>
      <c r="F8" s="373"/>
      <c r="G8" s="37" t="s">
        <v>137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223</v>
      </c>
      <c r="R8" s="94">
        <v>0.96680210088197405</v>
      </c>
      <c r="S8" s="93" t="s">
        <v>203</v>
      </c>
      <c r="W8" s="45" t="s">
        <v>439</v>
      </c>
      <c r="X8" s="46" t="s">
        <v>139</v>
      </c>
      <c r="Y8" s="46">
        <v>16</v>
      </c>
      <c r="Z8" s="46" t="s">
        <v>440</v>
      </c>
      <c r="AA8" s="61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9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0.89318320146074259</v>
      </c>
      <c r="F9" s="373"/>
      <c r="G9" s="37" t="s">
        <v>139</v>
      </c>
      <c r="H9" s="49">
        <f>COUNTIF(C$7:C$67,"=16")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0" t="s">
        <v>423</v>
      </c>
      <c r="AC9" s="37" t="s">
        <v>139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3.9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0.63157463237392464</v>
      </c>
      <c r="F10" s="373"/>
      <c r="G10" s="37" t="s">
        <v>140</v>
      </c>
      <c r="H10" s="49">
        <f>COUNTIF(C$7:C$67,"=15")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0" t="s">
        <v>423</v>
      </c>
      <c r="AC10" s="37" t="s">
        <v>140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3.9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73"/>
      <c r="G11" s="37" t="s">
        <v>141</v>
      </c>
      <c r="H11" s="49">
        <f>COUNTIF(C$7:C$67,"=14")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239</v>
      </c>
      <c r="R11" s="94">
        <v>0.91095138568993894</v>
      </c>
      <c r="S11" s="93" t="s">
        <v>203</v>
      </c>
      <c r="W11" s="45" t="s">
        <v>446</v>
      </c>
      <c r="X11" s="46" t="s">
        <v>141</v>
      </c>
      <c r="Y11" s="46">
        <v>14</v>
      </c>
      <c r="Z11" s="46" t="s">
        <v>447</v>
      </c>
      <c r="AA11" s="61" t="s">
        <v>423</v>
      </c>
      <c r="AC11" s="37" t="s">
        <v>141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3.9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0.76510407852428497</v>
      </c>
      <c r="F12" s="373"/>
      <c r="G12" s="37" t="s">
        <v>142</v>
      </c>
      <c r="H12" s="49">
        <f>COUNTIF(C$7:C$67,"=13")</f>
        <v>12</v>
      </c>
      <c r="I12" s="50">
        <f t="shared" si="1"/>
        <v>0.20338983050847459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0" t="s">
        <v>423</v>
      </c>
      <c r="AC12" s="37" t="s">
        <v>142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4.45" thickBot="1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73"/>
      <c r="G13" s="53" t="s">
        <v>143</v>
      </c>
      <c r="H13" s="55">
        <f>COUNTIF(C$7:C$67,"&lt;13")</f>
        <v>5</v>
      </c>
      <c r="I13" s="56">
        <f t="shared" si="1"/>
        <v>8.4745762711864403E-2</v>
      </c>
      <c r="Q13" s="93" t="s">
        <v>246</v>
      </c>
      <c r="R13" s="94">
        <v>0.68875112521618576</v>
      </c>
      <c r="S13" s="93" t="s">
        <v>204</v>
      </c>
      <c r="W13" s="45" t="s">
        <v>352</v>
      </c>
      <c r="X13" s="46" t="s">
        <v>141</v>
      </c>
      <c r="Y13" s="46">
        <v>14</v>
      </c>
      <c r="Z13" s="46" t="s">
        <v>353</v>
      </c>
      <c r="AA13" s="61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9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0.541533003736272</v>
      </c>
      <c r="F14" s="373"/>
      <c r="G14" s="41" t="s">
        <v>144</v>
      </c>
      <c r="H14" s="51">
        <f>SUM(H8:H13)</f>
        <v>59</v>
      </c>
      <c r="I14" s="52">
        <f t="shared" si="1"/>
        <v>1</v>
      </c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0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9">
      <c r="A15" s="45" t="s">
        <v>345</v>
      </c>
      <c r="B15" s="46" t="s">
        <v>139</v>
      </c>
      <c r="C15" s="46">
        <v>16</v>
      </c>
      <c r="D15" s="46" t="s">
        <v>346</v>
      </c>
      <c r="E15" s="61">
        <f t="shared" ref="E15:E46" si="3">VLOOKUP($D15,$Q$7:$R$68,2,0)</f>
        <v>0.975461842272901</v>
      </c>
      <c r="F15" s="373"/>
      <c r="K15" s="5"/>
      <c r="Q15" s="93" t="s">
        <v>452</v>
      </c>
      <c r="R15" s="94">
        <v>0.33305692234682915</v>
      </c>
      <c r="S15" s="93" t="s">
        <v>194</v>
      </c>
      <c r="W15" s="45" t="s">
        <v>431</v>
      </c>
      <c r="X15" s="46" t="s">
        <v>164</v>
      </c>
      <c r="Y15" s="46">
        <v>18</v>
      </c>
      <c r="Z15" s="46" t="s">
        <v>432</v>
      </c>
      <c r="AA15" s="61">
        <v>1</v>
      </c>
      <c r="AG15" s="80"/>
    </row>
    <row r="16" spans="1:33" ht="13.9">
      <c r="A16" s="45" t="s">
        <v>251</v>
      </c>
      <c r="B16" s="46" t="s">
        <v>139</v>
      </c>
      <c r="C16" s="46">
        <v>16</v>
      </c>
      <c r="D16" s="46" t="s">
        <v>252</v>
      </c>
      <c r="E16" s="61">
        <f t="shared" si="3"/>
        <v>0.94700000000000006</v>
      </c>
      <c r="F16" s="373"/>
      <c r="K16" s="5"/>
      <c r="Q16" s="93" t="s">
        <v>453</v>
      </c>
      <c r="R16" s="94">
        <v>0.89001113183270453</v>
      </c>
      <c r="S16" s="93" t="s">
        <v>203</v>
      </c>
      <c r="W16" s="45" t="s">
        <v>259</v>
      </c>
      <c r="X16" s="46" t="s">
        <v>139</v>
      </c>
      <c r="Y16" s="46">
        <v>16</v>
      </c>
      <c r="Z16" s="46" t="s">
        <v>454</v>
      </c>
      <c r="AA16" s="61">
        <v>1</v>
      </c>
      <c r="AG16" s="80"/>
    </row>
    <row r="17" spans="1:33" ht="13.9">
      <c r="A17" s="37" t="s">
        <v>217</v>
      </c>
      <c r="B17" s="44" t="s">
        <v>140</v>
      </c>
      <c r="C17" s="44">
        <v>15</v>
      </c>
      <c r="D17" s="44" t="s">
        <v>218</v>
      </c>
      <c r="E17" s="60">
        <f t="shared" si="3"/>
        <v>0.91042888352305396</v>
      </c>
      <c r="F17" s="373"/>
      <c r="K17" s="5"/>
      <c r="Q17" s="93" t="s">
        <v>257</v>
      </c>
      <c r="R17" s="94">
        <v>0.89235399590163933</v>
      </c>
      <c r="S17" s="93" t="s">
        <v>203</v>
      </c>
      <c r="W17" s="45" t="s">
        <v>328</v>
      </c>
      <c r="X17" s="46" t="s">
        <v>141</v>
      </c>
      <c r="Y17" s="46">
        <v>14</v>
      </c>
      <c r="Z17" s="46" t="s">
        <v>331</v>
      </c>
      <c r="AA17" s="61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5" thickBot="1">
      <c r="A18" s="37" t="s">
        <v>219</v>
      </c>
      <c r="B18" s="44" t="s">
        <v>140</v>
      </c>
      <c r="C18" s="44">
        <v>15</v>
      </c>
      <c r="D18" s="44" t="s">
        <v>220</v>
      </c>
      <c r="E18" s="60">
        <f t="shared" si="3"/>
        <v>0.86662573118314323</v>
      </c>
      <c r="F18" s="373"/>
      <c r="K18" s="5"/>
      <c r="Q18" s="93" t="s">
        <v>378</v>
      </c>
      <c r="R18" s="94">
        <v>0.91199977892108686</v>
      </c>
      <c r="S18" s="93" t="s">
        <v>203</v>
      </c>
      <c r="W18" s="45" t="s">
        <v>285</v>
      </c>
      <c r="X18" s="46" t="s">
        <v>141</v>
      </c>
      <c r="Y18" s="46">
        <v>14</v>
      </c>
      <c r="Z18" s="46" t="s">
        <v>286</v>
      </c>
      <c r="AA18" s="61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9">
      <c r="A19" s="37" t="s">
        <v>261</v>
      </c>
      <c r="B19" s="44" t="s">
        <v>140</v>
      </c>
      <c r="C19" s="44">
        <v>15</v>
      </c>
      <c r="D19" s="44" t="s">
        <v>262</v>
      </c>
      <c r="E19" s="69">
        <f t="shared" si="3"/>
        <v>0.81254016709511567</v>
      </c>
      <c r="F19" s="373"/>
      <c r="K19" s="5"/>
      <c r="Q19" s="93" t="s">
        <v>250</v>
      </c>
      <c r="R19" s="94">
        <v>0.71562826313957539</v>
      </c>
      <c r="S19" s="93" t="s">
        <v>204</v>
      </c>
      <c r="W19" s="45" t="s">
        <v>354</v>
      </c>
      <c r="X19" s="46" t="s">
        <v>141</v>
      </c>
      <c r="Y19" s="46">
        <v>14</v>
      </c>
      <c r="Z19" s="46" t="s">
        <v>355</v>
      </c>
      <c r="AA19" s="61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9">
      <c r="A20" s="37" t="s">
        <v>395</v>
      </c>
      <c r="B20" s="44" t="s">
        <v>140</v>
      </c>
      <c r="C20" s="44">
        <v>15</v>
      </c>
      <c r="D20" s="44" t="s">
        <v>396</v>
      </c>
      <c r="E20" s="60">
        <f t="shared" si="3"/>
        <v>0.83267459864721705</v>
      </c>
      <c r="F20" s="373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0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9">
      <c r="A21" s="37" t="s">
        <v>271</v>
      </c>
      <c r="B21" s="44" t="s">
        <v>140</v>
      </c>
      <c r="C21" s="44">
        <v>15</v>
      </c>
      <c r="D21" s="44" t="s">
        <v>272</v>
      </c>
      <c r="E21" s="60">
        <f t="shared" si="3"/>
        <v>0.36101059894989318</v>
      </c>
      <c r="F21" s="373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140</v>
      </c>
      <c r="Y21" s="44">
        <v>15</v>
      </c>
      <c r="Z21" s="44" t="s">
        <v>302</v>
      </c>
      <c r="AA21" s="60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9">
      <c r="A22" s="37" t="s">
        <v>408</v>
      </c>
      <c r="B22" s="44" t="s">
        <v>140</v>
      </c>
      <c r="C22" s="44">
        <v>15</v>
      </c>
      <c r="D22" s="44" t="s">
        <v>451</v>
      </c>
      <c r="E22" s="60">
        <f t="shared" si="3"/>
        <v>0.76017780502759058</v>
      </c>
      <c r="F22" s="373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9">
      <c r="A23" s="37" t="s">
        <v>277</v>
      </c>
      <c r="B23" s="44" t="s">
        <v>140</v>
      </c>
      <c r="C23" s="44">
        <v>15</v>
      </c>
      <c r="D23" s="44" t="s">
        <v>278</v>
      </c>
      <c r="E23" s="60">
        <f t="shared" si="3"/>
        <v>0.76907329412838532</v>
      </c>
      <c r="F23" s="373"/>
      <c r="Q23" s="93" t="s">
        <v>262</v>
      </c>
      <c r="R23" s="94">
        <v>0.81254016709511567</v>
      </c>
      <c r="S23" s="93" t="s">
        <v>203</v>
      </c>
      <c r="W23" s="45" t="s">
        <v>297</v>
      </c>
      <c r="X23" s="46" t="s">
        <v>141</v>
      </c>
      <c r="Y23" s="46">
        <v>14</v>
      </c>
      <c r="Z23" s="46" t="s">
        <v>298</v>
      </c>
      <c r="AA23" s="61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5" thickBot="1">
      <c r="A24" s="37" t="s">
        <v>382</v>
      </c>
      <c r="B24" s="44" t="s">
        <v>140</v>
      </c>
      <c r="C24" s="44">
        <v>15</v>
      </c>
      <c r="D24" s="44" t="s">
        <v>383</v>
      </c>
      <c r="E24" s="69">
        <f t="shared" si="3"/>
        <v>0.73349447513812149</v>
      </c>
      <c r="F24" s="373"/>
      <c r="Q24" s="93" t="s">
        <v>264</v>
      </c>
      <c r="R24" s="94">
        <v>0.76510407852428497</v>
      </c>
      <c r="S24" s="93" t="s">
        <v>204</v>
      </c>
      <c r="W24" s="95" t="s">
        <v>411</v>
      </c>
      <c r="X24" s="96" t="s">
        <v>173</v>
      </c>
      <c r="Y24" s="96">
        <v>12</v>
      </c>
      <c r="Z24" s="96" t="s">
        <v>412</v>
      </c>
      <c r="AA24" s="97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9">
      <c r="A25" s="37" t="s">
        <v>301</v>
      </c>
      <c r="B25" s="44" t="s">
        <v>140</v>
      </c>
      <c r="C25" s="44">
        <v>15</v>
      </c>
      <c r="D25" s="44" t="s">
        <v>302</v>
      </c>
      <c r="E25" s="60">
        <f t="shared" si="3"/>
        <v>0.99967409016838671</v>
      </c>
      <c r="F25" s="373"/>
      <c r="Q25" s="93" t="s">
        <v>455</v>
      </c>
      <c r="R25" s="94">
        <v>0.96341849943457658</v>
      </c>
      <c r="S25" s="93" t="s">
        <v>203</v>
      </c>
      <c r="W25" s="45" t="s">
        <v>305</v>
      </c>
      <c r="X25" s="46" t="s">
        <v>173</v>
      </c>
      <c r="Y25" s="46">
        <v>12</v>
      </c>
      <c r="Z25" s="46" t="s">
        <v>456</v>
      </c>
      <c r="AA25" s="61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9">
      <c r="A26" s="37" t="s">
        <v>243</v>
      </c>
      <c r="B26" s="44" t="s">
        <v>140</v>
      </c>
      <c r="C26" s="44">
        <v>15</v>
      </c>
      <c r="D26" s="44" t="s">
        <v>244</v>
      </c>
      <c r="E26" s="69">
        <f t="shared" si="3"/>
        <v>0.61841824770837783</v>
      </c>
      <c r="F26" s="373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142</v>
      </c>
      <c r="Y26" s="44">
        <v>13</v>
      </c>
      <c r="Z26" s="44" t="s">
        <v>282</v>
      </c>
      <c r="AA26" s="60">
        <v>0.99126425624848336</v>
      </c>
      <c r="AG26" s="80"/>
    </row>
    <row r="27" spans="1:33" ht="13.9">
      <c r="A27" s="37" t="s">
        <v>427</v>
      </c>
      <c r="B27" s="44" t="s">
        <v>140</v>
      </c>
      <c r="C27" s="44">
        <v>15</v>
      </c>
      <c r="D27" s="44" t="s">
        <v>428</v>
      </c>
      <c r="E27" s="60">
        <f t="shared" si="3"/>
        <v>0.85816623707026407</v>
      </c>
      <c r="F27" s="373"/>
      <c r="Q27" s="93" t="s">
        <v>368</v>
      </c>
      <c r="R27" s="94">
        <v>1.0292149475019923</v>
      </c>
      <c r="S27" s="93" t="s">
        <v>203</v>
      </c>
      <c r="W27" s="45" t="s">
        <v>389</v>
      </c>
      <c r="X27" s="46" t="s">
        <v>141</v>
      </c>
      <c r="Y27" s="46">
        <v>14</v>
      </c>
      <c r="Z27" s="46" t="s">
        <v>390</v>
      </c>
      <c r="AA27" s="61">
        <v>0.98872477714287255</v>
      </c>
      <c r="AG27" s="80"/>
    </row>
    <row r="28" spans="1:33" ht="13.9">
      <c r="A28" s="37" t="s">
        <v>347</v>
      </c>
      <c r="B28" s="44" t="s">
        <v>140</v>
      </c>
      <c r="C28" s="44">
        <v>15</v>
      </c>
      <c r="D28" s="44" t="s">
        <v>348</v>
      </c>
      <c r="E28" s="60">
        <f t="shared" si="3"/>
        <v>0.77444478716841458</v>
      </c>
      <c r="F28" s="373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11.75</v>
      </c>
      <c r="AG28" s="79"/>
    </row>
    <row r="29" spans="1:33" ht="14.45" thickBot="1">
      <c r="A29" s="37" t="s">
        <v>291</v>
      </c>
      <c r="B29" s="44" t="s">
        <v>140</v>
      </c>
      <c r="C29" s="44">
        <v>15</v>
      </c>
      <c r="D29" s="44" t="s">
        <v>292</v>
      </c>
      <c r="E29" s="60">
        <f t="shared" si="3"/>
        <v>0.66251692368655679</v>
      </c>
      <c r="F29" s="373"/>
      <c r="Q29" s="93" t="s">
        <v>457</v>
      </c>
      <c r="R29" s="94">
        <v>0.11951366732775717</v>
      </c>
      <c r="S29" s="93" t="s">
        <v>194</v>
      </c>
      <c r="W29" s="45" t="s">
        <v>283</v>
      </c>
      <c r="X29" s="46" t="s">
        <v>141</v>
      </c>
      <c r="Y29" s="46">
        <v>14</v>
      </c>
      <c r="Z29" s="46" t="s">
        <v>284</v>
      </c>
      <c r="AA29" s="61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9">
      <c r="A30" s="37" t="s">
        <v>247</v>
      </c>
      <c r="B30" s="44" t="s">
        <v>140</v>
      </c>
      <c r="C30" s="44">
        <v>15</v>
      </c>
      <c r="D30" s="44" t="s">
        <v>248</v>
      </c>
      <c r="E30" s="60">
        <f t="shared" si="3"/>
        <v>0.91865112788863534</v>
      </c>
      <c r="F30" s="373"/>
      <c r="Q30" s="93" t="s">
        <v>266</v>
      </c>
      <c r="R30" s="94">
        <v>0.7886228860092247</v>
      </c>
      <c r="S30" s="93" t="s">
        <v>204</v>
      </c>
      <c r="W30" s="45" t="s">
        <v>345</v>
      </c>
      <c r="X30" s="46" t="s">
        <v>139</v>
      </c>
      <c r="Y30" s="46">
        <v>16</v>
      </c>
      <c r="Z30" s="46" t="s">
        <v>346</v>
      </c>
      <c r="AA30" s="61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9">
      <c r="A31" s="45" t="s">
        <v>222</v>
      </c>
      <c r="B31" s="46" t="s">
        <v>141</v>
      </c>
      <c r="C31" s="46">
        <v>14</v>
      </c>
      <c r="D31" s="46" t="s">
        <v>223</v>
      </c>
      <c r="E31" s="61">
        <f t="shared" si="3"/>
        <v>0.96680210088197405</v>
      </c>
      <c r="F31" s="373"/>
      <c r="K31" s="122"/>
      <c r="L31" s="122"/>
      <c r="Q31" s="93" t="s">
        <v>268</v>
      </c>
      <c r="R31" s="94">
        <v>0.80341264723043471</v>
      </c>
      <c r="S31" s="93" t="s">
        <v>203</v>
      </c>
      <c r="W31" s="45" t="s">
        <v>458</v>
      </c>
      <c r="X31" s="46" t="s">
        <v>173</v>
      </c>
      <c r="Y31" s="46">
        <v>12</v>
      </c>
      <c r="Z31" s="46" t="s">
        <v>459</v>
      </c>
      <c r="AA31" s="61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9">
      <c r="A32" s="95" t="s">
        <v>238</v>
      </c>
      <c r="B32" s="96" t="s">
        <v>141</v>
      </c>
      <c r="C32" s="96">
        <v>14</v>
      </c>
      <c r="D32" s="96" t="s">
        <v>239</v>
      </c>
      <c r="E32" s="97">
        <f t="shared" si="3"/>
        <v>0.91095138568993894</v>
      </c>
      <c r="F32" s="373"/>
      <c r="L32" s="122"/>
      <c r="Q32" s="93" t="s">
        <v>270</v>
      </c>
      <c r="R32" s="94">
        <v>0.58646630934150079</v>
      </c>
      <c r="S32" s="93" t="s">
        <v>204</v>
      </c>
      <c r="W32" s="45" t="s">
        <v>222</v>
      </c>
      <c r="X32" s="46" t="s">
        <v>141</v>
      </c>
      <c r="Y32" s="46">
        <v>14</v>
      </c>
      <c r="Z32" s="46" t="s">
        <v>223</v>
      </c>
      <c r="AA32" s="61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9">
      <c r="A33" s="45" t="s">
        <v>249</v>
      </c>
      <c r="B33" s="46" t="s">
        <v>141</v>
      </c>
      <c r="C33" s="46">
        <v>14</v>
      </c>
      <c r="D33" s="46" t="s">
        <v>250</v>
      </c>
      <c r="E33" s="61">
        <f t="shared" si="3"/>
        <v>0.71562826313957539</v>
      </c>
      <c r="F33" s="373"/>
      <c r="L33" s="122"/>
      <c r="Q33" s="93" t="s">
        <v>276</v>
      </c>
      <c r="R33" s="94">
        <v>0.64970550208303401</v>
      </c>
      <c r="S33" s="93" t="s">
        <v>204</v>
      </c>
      <c r="W33" s="45" t="s">
        <v>460</v>
      </c>
      <c r="X33" s="46" t="s">
        <v>139</v>
      </c>
      <c r="Y33" s="46">
        <v>16</v>
      </c>
      <c r="Z33" s="46" t="s">
        <v>455</v>
      </c>
      <c r="AA33" s="61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9">
      <c r="A34" s="45" t="s">
        <v>254</v>
      </c>
      <c r="B34" s="46" t="s">
        <v>141</v>
      </c>
      <c r="C34" s="46">
        <v>14</v>
      </c>
      <c r="D34" s="46" t="s">
        <v>378</v>
      </c>
      <c r="E34" s="61">
        <f t="shared" si="3"/>
        <v>0.91199977892108686</v>
      </c>
      <c r="F34" s="373"/>
      <c r="L34" s="122"/>
      <c r="Q34" s="93" t="s">
        <v>353</v>
      </c>
      <c r="R34" s="94">
        <v>1.0379329114785329</v>
      </c>
      <c r="S34" s="93" t="s">
        <v>203</v>
      </c>
      <c r="W34" s="45" t="s">
        <v>394</v>
      </c>
      <c r="X34" s="46" t="s">
        <v>141</v>
      </c>
      <c r="Y34" s="46">
        <v>14</v>
      </c>
      <c r="Z34" s="46" t="s">
        <v>236</v>
      </c>
      <c r="AA34" s="61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5" thickBot="1">
      <c r="A35" s="45" t="s">
        <v>328</v>
      </c>
      <c r="B35" s="46" t="s">
        <v>141</v>
      </c>
      <c r="C35" s="46">
        <v>14</v>
      </c>
      <c r="D35" s="46" t="s">
        <v>331</v>
      </c>
      <c r="E35" s="61">
        <f t="shared" si="3"/>
        <v>1</v>
      </c>
      <c r="F35" s="373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45" t="s">
        <v>251</v>
      </c>
      <c r="X35" s="46" t="s">
        <v>139</v>
      </c>
      <c r="Y35" s="46">
        <v>16</v>
      </c>
      <c r="Z35" s="46" t="s">
        <v>252</v>
      </c>
      <c r="AA35" s="61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9">
      <c r="A36" s="45" t="s">
        <v>267</v>
      </c>
      <c r="B36" s="46" t="s">
        <v>141</v>
      </c>
      <c r="C36" s="46">
        <v>14</v>
      </c>
      <c r="D36" s="46" t="s">
        <v>268</v>
      </c>
      <c r="E36" s="61">
        <f t="shared" si="3"/>
        <v>0.80341264723043471</v>
      </c>
      <c r="F36" s="373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45" t="s">
        <v>369</v>
      </c>
      <c r="X36" s="46" t="s">
        <v>141</v>
      </c>
      <c r="Y36" s="46">
        <v>14</v>
      </c>
      <c r="Z36" s="46" t="s">
        <v>375</v>
      </c>
      <c r="AA36" s="61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9">
      <c r="A37" s="45" t="s">
        <v>269</v>
      </c>
      <c r="B37" s="46" t="s">
        <v>141</v>
      </c>
      <c r="C37" s="46">
        <v>14</v>
      </c>
      <c r="D37" s="46" t="s">
        <v>270</v>
      </c>
      <c r="E37" s="61">
        <f t="shared" si="3"/>
        <v>0.58646630934150079</v>
      </c>
      <c r="F37" s="373"/>
      <c r="H37" s="5"/>
      <c r="J37" s="7"/>
      <c r="Q37" s="93" t="s">
        <v>220</v>
      </c>
      <c r="R37" s="94">
        <v>0.86662573118314323</v>
      </c>
      <c r="S37" s="93" t="s">
        <v>203</v>
      </c>
      <c r="W37" s="45" t="s">
        <v>303</v>
      </c>
      <c r="X37" s="46" t="s">
        <v>177</v>
      </c>
      <c r="Y37" s="46">
        <v>10</v>
      </c>
      <c r="Z37" s="46" t="s">
        <v>304</v>
      </c>
      <c r="AA37" s="61">
        <v>0.93520619672453054</v>
      </c>
    </row>
    <row r="38" spans="1:31" ht="13.9">
      <c r="A38" s="45" t="s">
        <v>352</v>
      </c>
      <c r="B38" s="46" t="s">
        <v>141</v>
      </c>
      <c r="C38" s="46">
        <v>14</v>
      </c>
      <c r="D38" s="46" t="s">
        <v>353</v>
      </c>
      <c r="E38" s="61">
        <f t="shared" si="3"/>
        <v>1.0379329114785329</v>
      </c>
      <c r="F38" s="373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0">
        <v>0.92936836749527552</v>
      </c>
    </row>
    <row r="39" spans="1:31" ht="13.9">
      <c r="A39" s="45" t="s">
        <v>283</v>
      </c>
      <c r="B39" s="46" t="s">
        <v>141</v>
      </c>
      <c r="C39" s="46">
        <v>14</v>
      </c>
      <c r="D39" s="46" t="s">
        <v>284</v>
      </c>
      <c r="E39" s="61">
        <f t="shared" si="3"/>
        <v>0.97697589100213744</v>
      </c>
      <c r="F39" s="373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140</v>
      </c>
      <c r="Y39" s="44">
        <v>15</v>
      </c>
      <c r="Z39" s="44" t="s">
        <v>248</v>
      </c>
      <c r="AA39" s="60">
        <v>0.91865112788863534</v>
      </c>
    </row>
    <row r="40" spans="1:31" ht="13.9">
      <c r="A40" s="45" t="s">
        <v>394</v>
      </c>
      <c r="B40" s="46" t="s">
        <v>141</v>
      </c>
      <c r="C40" s="46">
        <v>14</v>
      </c>
      <c r="D40" s="46" t="s">
        <v>236</v>
      </c>
      <c r="E40" s="61">
        <f t="shared" si="3"/>
        <v>0.95294725244456668</v>
      </c>
      <c r="F40" s="373"/>
      <c r="H40" s="5"/>
      <c r="J40" s="8"/>
      <c r="Q40" s="93" t="s">
        <v>241</v>
      </c>
      <c r="R40" s="94">
        <v>0.541533003736272</v>
      </c>
      <c r="S40" s="93" t="s">
        <v>204</v>
      </c>
      <c r="W40" s="45" t="s">
        <v>254</v>
      </c>
      <c r="X40" s="46" t="s">
        <v>141</v>
      </c>
      <c r="Y40" s="46">
        <v>14</v>
      </c>
      <c r="Z40" s="46" t="s">
        <v>378</v>
      </c>
      <c r="AA40" s="61">
        <v>0.91199977892108686</v>
      </c>
    </row>
    <row r="41" spans="1:31" ht="13.9">
      <c r="A41" s="45" t="s">
        <v>297</v>
      </c>
      <c r="B41" s="46" t="s">
        <v>141</v>
      </c>
      <c r="C41" s="46">
        <v>14</v>
      </c>
      <c r="D41" s="46" t="s">
        <v>298</v>
      </c>
      <c r="E41" s="61">
        <f t="shared" si="3"/>
        <v>0.99569209153466032</v>
      </c>
      <c r="F41" s="373"/>
      <c r="H41" s="5"/>
      <c r="J41" s="8"/>
      <c r="Q41" s="93" t="s">
        <v>274</v>
      </c>
      <c r="R41" s="94">
        <v>0.57845507252191697</v>
      </c>
      <c r="S41" s="93" t="s">
        <v>204</v>
      </c>
      <c r="W41" s="95" t="s">
        <v>238</v>
      </c>
      <c r="X41" s="96" t="s">
        <v>141</v>
      </c>
      <c r="Y41" s="96">
        <v>14</v>
      </c>
      <c r="Z41" s="96" t="s">
        <v>239</v>
      </c>
      <c r="AA41" s="97">
        <v>0.91095138568993894</v>
      </c>
    </row>
    <row r="42" spans="1:31" ht="13.9">
      <c r="A42" s="45" t="s">
        <v>285</v>
      </c>
      <c r="B42" s="46" t="s">
        <v>141</v>
      </c>
      <c r="C42" s="46">
        <v>14</v>
      </c>
      <c r="D42" s="46" t="s">
        <v>286</v>
      </c>
      <c r="E42" s="61">
        <f t="shared" si="3"/>
        <v>1</v>
      </c>
      <c r="F42" s="373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0">
        <v>0.91042888352305396</v>
      </c>
    </row>
    <row r="43" spans="1:31" ht="13.9">
      <c r="A43" s="45" t="s">
        <v>289</v>
      </c>
      <c r="B43" s="46" t="s">
        <v>141</v>
      </c>
      <c r="C43" s="46">
        <v>14</v>
      </c>
      <c r="D43" s="46" t="s">
        <v>290</v>
      </c>
      <c r="E43" s="61">
        <f t="shared" si="3"/>
        <v>0.5641445718679996</v>
      </c>
      <c r="F43" s="373"/>
      <c r="Q43" s="93" t="s">
        <v>236</v>
      </c>
      <c r="R43" s="94">
        <v>0.95294725244456668</v>
      </c>
      <c r="S43" s="93" t="s">
        <v>203</v>
      </c>
      <c r="W43" s="45" t="s">
        <v>227</v>
      </c>
      <c r="X43" s="46" t="s">
        <v>139</v>
      </c>
      <c r="Y43" s="46">
        <v>16</v>
      </c>
      <c r="Z43" s="46" t="s">
        <v>228</v>
      </c>
      <c r="AA43" s="61">
        <v>0.89318320146074259</v>
      </c>
    </row>
    <row r="44" spans="1:31" ht="13.9">
      <c r="A44" s="45" t="s">
        <v>369</v>
      </c>
      <c r="B44" s="46" t="s">
        <v>141</v>
      </c>
      <c r="C44" s="46">
        <v>14</v>
      </c>
      <c r="D44" s="46" t="s">
        <v>375</v>
      </c>
      <c r="E44" s="61">
        <f t="shared" si="3"/>
        <v>0.93843994106691131</v>
      </c>
      <c r="F44" s="373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0">
        <v>0.89235399590163933</v>
      </c>
    </row>
    <row r="45" spans="1:31" ht="13.9">
      <c r="A45" s="45" t="s">
        <v>389</v>
      </c>
      <c r="B45" s="46" t="s">
        <v>141</v>
      </c>
      <c r="C45" s="46">
        <v>14</v>
      </c>
      <c r="D45" s="46" t="s">
        <v>390</v>
      </c>
      <c r="E45" s="61">
        <f t="shared" si="3"/>
        <v>0.98872477714287255</v>
      </c>
      <c r="F45" s="373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0">
        <v>0.89001113183270453</v>
      </c>
    </row>
    <row r="46" spans="1:31" ht="13.9">
      <c r="A46" s="45" t="s">
        <v>354</v>
      </c>
      <c r="B46" s="46" t="s">
        <v>141</v>
      </c>
      <c r="C46" s="46">
        <v>14</v>
      </c>
      <c r="D46" s="46" t="s">
        <v>355</v>
      </c>
      <c r="E46" s="61">
        <f t="shared" si="3"/>
        <v>1</v>
      </c>
      <c r="F46" s="373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0">
        <v>0.86662573118314323</v>
      </c>
    </row>
    <row r="47" spans="1:31" ht="13.9">
      <c r="A47" s="37" t="s">
        <v>225</v>
      </c>
      <c r="B47" s="44" t="s">
        <v>142</v>
      </c>
      <c r="C47" s="44">
        <v>13</v>
      </c>
      <c r="D47" s="44" t="s">
        <v>226</v>
      </c>
      <c r="E47" s="60">
        <f t="shared" ref="E47:E67" si="6">VLOOKUP($D47,$Q$7:$R$68,2,0)</f>
        <v>0.84669359982989578</v>
      </c>
      <c r="F47" s="373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0">
        <v>0.85816623707026407</v>
      </c>
    </row>
    <row r="48" spans="1:31" ht="13.9">
      <c r="A48" s="37" t="s">
        <v>245</v>
      </c>
      <c r="B48" s="44" t="s">
        <v>142</v>
      </c>
      <c r="C48" s="44">
        <v>13</v>
      </c>
      <c r="D48" s="44" t="s">
        <v>246</v>
      </c>
      <c r="E48" s="60">
        <f t="shared" si="6"/>
        <v>0.68875112521618576</v>
      </c>
      <c r="F48" s="373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0">
        <v>0.84669359982989578</v>
      </c>
    </row>
    <row r="49" spans="1:27" ht="13.9">
      <c r="A49" s="37" t="s">
        <v>256</v>
      </c>
      <c r="B49" s="44" t="s">
        <v>142</v>
      </c>
      <c r="C49" s="44">
        <v>13</v>
      </c>
      <c r="D49" s="44" t="s">
        <v>257</v>
      </c>
      <c r="E49" s="60">
        <f t="shared" si="6"/>
        <v>0.89235399590163933</v>
      </c>
      <c r="F49" s="373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0">
        <v>0.83267459864721705</v>
      </c>
    </row>
    <row r="50" spans="1:27" ht="13.9">
      <c r="A50" s="37" t="s">
        <v>463</v>
      </c>
      <c r="B50" s="44" t="s">
        <v>142</v>
      </c>
      <c r="C50" s="44">
        <v>13</v>
      </c>
      <c r="D50" s="44" t="s">
        <v>452</v>
      </c>
      <c r="E50" s="69">
        <f t="shared" si="6"/>
        <v>0.33305692234682915</v>
      </c>
      <c r="F50" s="373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9">
      <c r="A51" s="37" t="s">
        <v>265</v>
      </c>
      <c r="B51" s="44" t="s">
        <v>142</v>
      </c>
      <c r="C51" s="44">
        <v>13</v>
      </c>
      <c r="D51" s="44" t="s">
        <v>266</v>
      </c>
      <c r="E51" s="60">
        <f t="shared" si="6"/>
        <v>0.7886228860092247</v>
      </c>
      <c r="F51" s="373"/>
      <c r="I51" s="122"/>
      <c r="J51" s="122"/>
      <c r="Q51" s="93" t="s">
        <v>304</v>
      </c>
      <c r="R51" s="94">
        <v>0.93520619672453054</v>
      </c>
      <c r="S51" s="93" t="s">
        <v>203</v>
      </c>
      <c r="W51" s="45" t="s">
        <v>267</v>
      </c>
      <c r="X51" s="46" t="s">
        <v>141</v>
      </c>
      <c r="Y51" s="46">
        <v>14</v>
      </c>
      <c r="Z51" s="46" t="s">
        <v>268</v>
      </c>
      <c r="AA51" s="61">
        <v>0.80341264723043471</v>
      </c>
    </row>
    <row r="52" spans="1:27" ht="13.9">
      <c r="A52" s="37" t="s">
        <v>367</v>
      </c>
      <c r="B52" s="44" t="s">
        <v>142</v>
      </c>
      <c r="C52" s="44">
        <v>13</v>
      </c>
      <c r="D52" s="44" t="s">
        <v>368</v>
      </c>
      <c r="E52" s="60">
        <f t="shared" si="6"/>
        <v>1.0292149475019923</v>
      </c>
      <c r="F52" s="373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0">
        <v>0.7886228860092247</v>
      </c>
    </row>
    <row r="53" spans="1:27" ht="13.9">
      <c r="A53" s="37" t="s">
        <v>275</v>
      </c>
      <c r="B53" s="44" t="s">
        <v>142</v>
      </c>
      <c r="C53" s="44">
        <v>13</v>
      </c>
      <c r="D53" s="44" t="s">
        <v>276</v>
      </c>
      <c r="E53" s="60">
        <f t="shared" si="6"/>
        <v>0.64970550208303401</v>
      </c>
      <c r="F53" s="373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0">
        <v>0.78418126509511765</v>
      </c>
    </row>
    <row r="54" spans="1:27" ht="13.9">
      <c r="A54" s="37" t="s">
        <v>279</v>
      </c>
      <c r="B54" s="44" t="s">
        <v>142</v>
      </c>
      <c r="C54" s="44">
        <v>13</v>
      </c>
      <c r="D54" s="44" t="s">
        <v>280</v>
      </c>
      <c r="E54" s="69">
        <f t="shared" si="6"/>
        <v>0.47637430521244206</v>
      </c>
      <c r="F54" s="373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0">
        <v>0.77444478716841458</v>
      </c>
    </row>
    <row r="55" spans="1:27" ht="13.9">
      <c r="A55" s="37" t="s">
        <v>287</v>
      </c>
      <c r="B55" s="44" t="s">
        <v>142</v>
      </c>
      <c r="C55" s="44">
        <v>13</v>
      </c>
      <c r="D55" s="44" t="s">
        <v>441</v>
      </c>
      <c r="E55" s="60">
        <f t="shared" si="6"/>
        <v>1</v>
      </c>
      <c r="F55" s="373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0">
        <v>0.76907329412838532</v>
      </c>
    </row>
    <row r="56" spans="1:27" ht="13.9">
      <c r="A56" s="37" t="s">
        <v>273</v>
      </c>
      <c r="B56" s="44" t="s">
        <v>142</v>
      </c>
      <c r="C56" s="44">
        <v>13</v>
      </c>
      <c r="D56" s="44" t="s">
        <v>274</v>
      </c>
      <c r="E56" s="60">
        <f t="shared" si="6"/>
        <v>0.57845507252191697</v>
      </c>
      <c r="F56" s="373"/>
      <c r="Q56" s="93" t="s">
        <v>456</v>
      </c>
      <c r="R56" s="94">
        <v>0.99461817608484948</v>
      </c>
      <c r="S56" s="93" t="s">
        <v>203</v>
      </c>
      <c r="W56" s="45" t="s">
        <v>263</v>
      </c>
      <c r="X56" s="46" t="s">
        <v>139</v>
      </c>
      <c r="Y56" s="46">
        <v>16</v>
      </c>
      <c r="Z56" s="46" t="s">
        <v>264</v>
      </c>
      <c r="AA56" s="61">
        <v>0.76510407852428497</v>
      </c>
    </row>
    <row r="57" spans="1:27" ht="13.9">
      <c r="A57" s="37" t="s">
        <v>299</v>
      </c>
      <c r="B57" s="44" t="s">
        <v>142</v>
      </c>
      <c r="C57" s="44">
        <v>13</v>
      </c>
      <c r="D57" s="44" t="s">
        <v>300</v>
      </c>
      <c r="E57" s="60">
        <f t="shared" si="6"/>
        <v>0.62481029959532464</v>
      </c>
      <c r="F57" s="373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0">
        <v>0.76017780502759058</v>
      </c>
    </row>
    <row r="58" spans="1:27" ht="13.9">
      <c r="A58" s="37" t="s">
        <v>281</v>
      </c>
      <c r="B58" s="44" t="s">
        <v>142</v>
      </c>
      <c r="C58" s="44">
        <v>13</v>
      </c>
      <c r="D58" s="44" t="s">
        <v>282</v>
      </c>
      <c r="E58" s="60">
        <f t="shared" si="6"/>
        <v>0.99126425624848336</v>
      </c>
      <c r="F58" s="373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9">
      <c r="A59" s="45" t="s">
        <v>305</v>
      </c>
      <c r="B59" s="46" t="s">
        <v>173</v>
      </c>
      <c r="C59" s="46">
        <v>12</v>
      </c>
      <c r="D59" s="46" t="s">
        <v>456</v>
      </c>
      <c r="E59" s="61">
        <f t="shared" si="6"/>
        <v>0.99461817608484948</v>
      </c>
      <c r="F59" s="373"/>
      <c r="Q59" s="93" t="s">
        <v>292</v>
      </c>
      <c r="R59" s="94">
        <v>0.66251692368655679</v>
      </c>
      <c r="S59" s="93" t="s">
        <v>204</v>
      </c>
      <c r="W59" s="45" t="s">
        <v>249</v>
      </c>
      <c r="X59" s="46" t="s">
        <v>141</v>
      </c>
      <c r="Y59" s="46">
        <v>14</v>
      </c>
      <c r="Z59" s="46" t="s">
        <v>250</v>
      </c>
      <c r="AA59" s="61">
        <v>0.71562826313957539</v>
      </c>
    </row>
    <row r="60" spans="1:27" ht="13.9">
      <c r="A60" s="95" t="s">
        <v>411</v>
      </c>
      <c r="B60" s="96" t="s">
        <v>173</v>
      </c>
      <c r="C60" s="96">
        <v>12</v>
      </c>
      <c r="D60" s="96" t="s">
        <v>412</v>
      </c>
      <c r="E60" s="97">
        <f t="shared" si="6"/>
        <v>0.99533285779852521</v>
      </c>
      <c r="F60" s="373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0">
        <v>0.68875112521618576</v>
      </c>
    </row>
    <row r="61" spans="1:27" ht="13.9">
      <c r="A61" s="45" t="s">
        <v>303</v>
      </c>
      <c r="B61" s="46" t="s">
        <v>177</v>
      </c>
      <c r="C61" s="46">
        <v>10</v>
      </c>
      <c r="D61" s="46" t="s">
        <v>304</v>
      </c>
      <c r="E61" s="61">
        <f t="shared" si="6"/>
        <v>0.93520619672453054</v>
      </c>
      <c r="F61" s="373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0">
        <v>0.66251692368655679</v>
      </c>
    </row>
    <row r="62" spans="1:27" ht="14.45" thickBot="1">
      <c r="A62" s="89" t="s">
        <v>371</v>
      </c>
      <c r="B62" s="90" t="s">
        <v>185</v>
      </c>
      <c r="C62" s="90">
        <v>6</v>
      </c>
      <c r="D62" s="90" t="s">
        <v>457</v>
      </c>
      <c r="E62" s="112">
        <f t="shared" si="6"/>
        <v>0.11951366732775717</v>
      </c>
      <c r="F62" s="373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0">
        <v>0.64970550208303401</v>
      </c>
    </row>
    <row r="63" spans="1:27" ht="13.9">
      <c r="A63" s="37" t="s">
        <v>464</v>
      </c>
      <c r="B63" s="44" t="s">
        <v>162</v>
      </c>
      <c r="C63" s="44">
        <v>19</v>
      </c>
      <c r="D63" s="44" t="s">
        <v>461</v>
      </c>
      <c r="E63" s="60">
        <f t="shared" si="6"/>
        <v>0.78418126509511765</v>
      </c>
      <c r="F63" s="373"/>
      <c r="Q63" s="93" t="s">
        <v>459</v>
      </c>
      <c r="R63" s="94">
        <v>0.97036252976978032</v>
      </c>
      <c r="S63" s="93" t="s">
        <v>203</v>
      </c>
      <c r="W63" s="45" t="s">
        <v>361</v>
      </c>
      <c r="X63" s="46" t="s">
        <v>139</v>
      </c>
      <c r="Y63" s="46">
        <v>16</v>
      </c>
      <c r="Z63" s="46" t="s">
        <v>194</v>
      </c>
      <c r="AA63" s="61">
        <v>0.63157463237392464</v>
      </c>
    </row>
    <row r="64" spans="1:27" ht="13.9">
      <c r="A64" s="37" t="s">
        <v>462</v>
      </c>
      <c r="B64" s="44" t="s">
        <v>166</v>
      </c>
      <c r="C64" s="44">
        <v>17</v>
      </c>
      <c r="D64" s="44" t="s">
        <v>453</v>
      </c>
      <c r="E64" s="60">
        <f t="shared" si="6"/>
        <v>0.89001113183270453</v>
      </c>
      <c r="F64" s="373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0">
        <v>0.62875460562079877</v>
      </c>
    </row>
    <row r="65" spans="1:27" ht="13.9">
      <c r="A65" s="45" t="s">
        <v>458</v>
      </c>
      <c r="B65" s="46" t="s">
        <v>173</v>
      </c>
      <c r="C65" s="46">
        <v>12</v>
      </c>
      <c r="D65" s="46" t="s">
        <v>459</v>
      </c>
      <c r="E65" s="61">
        <f t="shared" si="6"/>
        <v>0.97036252976978032</v>
      </c>
      <c r="F65" s="373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0">
        <v>0.62481029959532464</v>
      </c>
    </row>
    <row r="66" spans="1:27" ht="13.9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140</v>
      </c>
      <c r="Y66" s="44">
        <v>15</v>
      </c>
      <c r="Z66" s="44" t="s">
        <v>244</v>
      </c>
      <c r="AA66" s="69">
        <v>0.61841824770837783</v>
      </c>
    </row>
    <row r="67" spans="1:27" ht="14.45" thickBot="1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45" t="s">
        <v>269</v>
      </c>
      <c r="X67" s="46" t="s">
        <v>141</v>
      </c>
      <c r="Y67" s="46">
        <v>14</v>
      </c>
      <c r="Z67" s="46" t="s">
        <v>270</v>
      </c>
      <c r="AA67" s="61">
        <v>0.58646630934150079</v>
      </c>
    </row>
    <row r="68" spans="1:27" ht="13.9">
      <c r="A68" s="41" t="s">
        <v>311</v>
      </c>
      <c r="B68" s="43" t="s">
        <v>141</v>
      </c>
      <c r="C68" s="42">
        <f>AVERAGE(C7:C62)</f>
        <v>14.160714285714286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0">
        <v>0.57845507252191697</v>
      </c>
    </row>
    <row r="69" spans="1:27" ht="14.45" thickBot="1">
      <c r="A69" s="3"/>
      <c r="B69" s="3"/>
      <c r="F69" s="5"/>
      <c r="Q69" s="93"/>
      <c r="R69" s="94"/>
      <c r="S69" s="93"/>
      <c r="W69" s="105" t="s">
        <v>289</v>
      </c>
      <c r="X69" s="107" t="s">
        <v>141</v>
      </c>
      <c r="Y69" s="107">
        <v>14</v>
      </c>
      <c r="Z69" s="107" t="s">
        <v>290</v>
      </c>
      <c r="AA69" s="109">
        <v>0.5641445718679996</v>
      </c>
    </row>
    <row r="70" spans="1:27" ht="13.9">
      <c r="A70" s="3"/>
      <c r="B70" s="3"/>
      <c r="F70" s="9"/>
      <c r="G70" s="122"/>
      <c r="Q70" s="93"/>
      <c r="R70" s="94"/>
      <c r="S70" s="93"/>
      <c r="W70" s="45" t="s">
        <v>240</v>
      </c>
      <c r="X70" s="46" t="s">
        <v>139</v>
      </c>
      <c r="Y70" s="46">
        <v>16</v>
      </c>
      <c r="Z70" s="46" t="s">
        <v>241</v>
      </c>
      <c r="AA70" s="61">
        <v>0.541533003736272</v>
      </c>
    </row>
    <row r="71" spans="1:27" ht="13.9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9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0">
        <v>0.36101059894989318</v>
      </c>
    </row>
    <row r="73" spans="1:27" ht="13.9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5" thickBot="1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185</v>
      </c>
      <c r="Y74" s="57">
        <v>6</v>
      </c>
      <c r="Z74" s="57" t="s">
        <v>457</v>
      </c>
      <c r="AA74" s="111">
        <v>0.11951366732775717</v>
      </c>
    </row>
    <row r="75" spans="1:27" ht="13.9">
      <c r="A75" s="85" t="s">
        <v>466</v>
      </c>
      <c r="D75" s="9"/>
      <c r="F75" s="87"/>
      <c r="Q75" s="49"/>
      <c r="R75" s="58"/>
      <c r="S75" s="49"/>
    </row>
    <row r="76" spans="1:27" ht="13.9">
      <c r="A76" s="48" t="s">
        <v>315</v>
      </c>
      <c r="D76" s="9"/>
      <c r="Q76" s="49"/>
      <c r="R76" s="58"/>
      <c r="S76" s="49"/>
    </row>
    <row r="77" spans="1:27" ht="13.9">
      <c r="A77" s="48"/>
      <c r="D77" s="9"/>
      <c r="Q77" s="49"/>
      <c r="R77" s="59"/>
      <c r="S77" s="49"/>
    </row>
    <row r="78" spans="1:27">
      <c r="A78" s="48"/>
    </row>
    <row r="79" spans="1:27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>
      <c r="Q80"/>
      <c r="R80"/>
      <c r="S80"/>
      <c r="AA80" s="88"/>
    </row>
    <row r="81" spans="1:27" s="86" customFormat="1">
      <c r="AA81" s="88"/>
    </row>
    <row r="82" spans="1:27" s="86" customFormat="1">
      <c r="A82"/>
      <c r="B82"/>
      <c r="C82"/>
      <c r="D82"/>
      <c r="E82" s="74"/>
      <c r="F82"/>
      <c r="G82"/>
      <c r="W82"/>
      <c r="X82"/>
      <c r="Y82"/>
      <c r="Z82"/>
      <c r="AA82"/>
    </row>
    <row r="83" spans="1:27">
      <c r="E83" s="75"/>
      <c r="Q83" s="86"/>
      <c r="R83" s="86"/>
      <c r="S83" s="86"/>
      <c r="AA83"/>
    </row>
    <row r="84" spans="1:27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theme="0"/>
  </sheetPr>
  <dimension ref="A1:D41"/>
  <sheetViews>
    <sheetView zoomScale="90" zoomScaleNormal="90" workbookViewId="0"/>
  </sheetViews>
  <sheetFormatPr defaultColWidth="9.140625" defaultRowHeight="13.9"/>
  <cols>
    <col min="1" max="1" width="19.28515625" style="49" customWidth="1"/>
    <col min="2" max="2" width="9" style="44" customWidth="1"/>
    <col min="3" max="3" width="6.42578125" style="44" customWidth="1"/>
    <col min="4" max="4" width="8" style="44" customWidth="1"/>
    <col min="5" max="16384" width="9.140625" style="49"/>
  </cols>
  <sheetData>
    <row r="1" spans="1:4" ht="18">
      <c r="A1" s="40" t="s">
        <v>150</v>
      </c>
    </row>
    <row r="4" spans="1:4">
      <c r="A4" s="76" t="s">
        <v>151</v>
      </c>
      <c r="B4" s="144" t="s">
        <v>152</v>
      </c>
      <c r="C4" s="144" t="s">
        <v>153</v>
      </c>
      <c r="D4" s="144" t="s">
        <v>154</v>
      </c>
    </row>
    <row r="5" spans="1:4">
      <c r="A5" s="77"/>
      <c r="B5" s="145" t="s">
        <v>155</v>
      </c>
      <c r="C5" s="145" t="s">
        <v>156</v>
      </c>
      <c r="D5" s="145" t="s">
        <v>156</v>
      </c>
    </row>
    <row r="6" spans="1:4">
      <c r="A6" s="77"/>
      <c r="B6" s="145"/>
      <c r="C6" s="145"/>
      <c r="D6" s="145"/>
    </row>
    <row r="7" spans="1:4">
      <c r="A7" s="48"/>
      <c r="B7" s="145" t="s">
        <v>157</v>
      </c>
      <c r="C7" s="145" t="s">
        <v>158</v>
      </c>
      <c r="D7" s="145" t="s">
        <v>158</v>
      </c>
    </row>
    <row r="8" spans="1:4">
      <c r="B8" s="145" t="s">
        <v>159</v>
      </c>
      <c r="C8" s="145" t="s">
        <v>160</v>
      </c>
      <c r="D8" s="145" t="s">
        <v>160</v>
      </c>
    </row>
    <row r="9" spans="1:4">
      <c r="B9" s="145" t="s">
        <v>161</v>
      </c>
      <c r="C9" s="145" t="s">
        <v>162</v>
      </c>
      <c r="D9" s="145" t="s">
        <v>162</v>
      </c>
    </row>
    <row r="10" spans="1:4">
      <c r="A10" s="48"/>
      <c r="B10" s="145"/>
      <c r="C10" s="145"/>
      <c r="D10" s="145"/>
    </row>
    <row r="11" spans="1:4">
      <c r="A11" s="48"/>
      <c r="B11" s="145" t="s">
        <v>163</v>
      </c>
      <c r="C11" s="145" t="s">
        <v>164</v>
      </c>
      <c r="D11" s="145" t="s">
        <v>164</v>
      </c>
    </row>
    <row r="12" spans="1:4">
      <c r="A12" s="48"/>
      <c r="B12" s="145" t="s">
        <v>165</v>
      </c>
      <c r="C12" s="145" t="s">
        <v>166</v>
      </c>
      <c r="D12" s="145" t="s">
        <v>166</v>
      </c>
    </row>
    <row r="13" spans="1:4">
      <c r="A13" s="48"/>
      <c r="B13" s="145" t="s">
        <v>167</v>
      </c>
      <c r="C13" s="145" t="s">
        <v>139</v>
      </c>
      <c r="D13" s="145" t="s">
        <v>139</v>
      </c>
    </row>
    <row r="14" spans="1:4">
      <c r="A14" s="48"/>
      <c r="B14" s="145"/>
      <c r="C14" s="145"/>
      <c r="D14" s="145"/>
    </row>
    <row r="15" spans="1:4">
      <c r="A15" s="48"/>
      <c r="B15" s="145" t="s">
        <v>168</v>
      </c>
      <c r="C15" s="145" t="s">
        <v>140</v>
      </c>
      <c r="D15" s="145" t="s">
        <v>140</v>
      </c>
    </row>
    <row r="16" spans="1:4">
      <c r="A16" s="48"/>
      <c r="B16" s="145" t="s">
        <v>169</v>
      </c>
      <c r="C16" s="145" t="s">
        <v>141</v>
      </c>
      <c r="D16" s="145" t="s">
        <v>141</v>
      </c>
    </row>
    <row r="17" spans="1:4">
      <c r="A17" s="48"/>
      <c r="B17" s="145" t="s">
        <v>170</v>
      </c>
      <c r="C17" s="145" t="s">
        <v>142</v>
      </c>
      <c r="D17" s="145" t="s">
        <v>142</v>
      </c>
    </row>
    <row r="18" spans="1:4">
      <c r="A18" s="48"/>
      <c r="B18" s="145"/>
      <c r="C18" s="145"/>
      <c r="D18" s="145"/>
    </row>
    <row r="19" spans="1:4">
      <c r="A19" s="76" t="s">
        <v>171</v>
      </c>
      <c r="B19" s="144" t="s">
        <v>152</v>
      </c>
      <c r="C19" s="144" t="s">
        <v>153</v>
      </c>
      <c r="D19" s="144" t="s">
        <v>154</v>
      </c>
    </row>
    <row r="20" spans="1:4">
      <c r="A20" s="78"/>
      <c r="B20" s="77"/>
      <c r="C20" s="77"/>
      <c r="D20" s="77"/>
    </row>
    <row r="21" spans="1:4">
      <c r="A21" s="48"/>
      <c r="B21" s="145" t="s">
        <v>172</v>
      </c>
      <c r="C21" s="145" t="s">
        <v>173</v>
      </c>
      <c r="D21" s="145" t="s">
        <v>173</v>
      </c>
    </row>
    <row r="22" spans="1:4">
      <c r="A22" s="48"/>
      <c r="B22" s="145" t="s">
        <v>174</v>
      </c>
      <c r="C22" s="145" t="s">
        <v>175</v>
      </c>
      <c r="D22" s="145" t="s">
        <v>175</v>
      </c>
    </row>
    <row r="23" spans="1:4">
      <c r="A23" s="48"/>
      <c r="B23" s="145" t="s">
        <v>176</v>
      </c>
      <c r="C23" s="145" t="s">
        <v>177</v>
      </c>
      <c r="D23" s="145" t="s">
        <v>177</v>
      </c>
    </row>
    <row r="24" spans="1:4">
      <c r="A24" s="48"/>
      <c r="B24" s="145"/>
      <c r="C24" s="145"/>
      <c r="D24" s="145"/>
    </row>
    <row r="25" spans="1:4">
      <c r="A25" s="77"/>
      <c r="B25" s="145" t="s">
        <v>178</v>
      </c>
      <c r="C25" s="145" t="s">
        <v>179</v>
      </c>
      <c r="D25" s="145" t="s">
        <v>179</v>
      </c>
    </row>
    <row r="26" spans="1:4">
      <c r="A26" s="48"/>
      <c r="B26" s="145" t="s">
        <v>180</v>
      </c>
      <c r="C26" s="145" t="s">
        <v>181</v>
      </c>
      <c r="D26" s="145" t="s">
        <v>181</v>
      </c>
    </row>
    <row r="27" spans="1:4">
      <c r="A27" s="48"/>
      <c r="B27" s="145" t="s">
        <v>182</v>
      </c>
      <c r="C27" s="145" t="s">
        <v>183</v>
      </c>
      <c r="D27" s="145" t="s">
        <v>183</v>
      </c>
    </row>
    <row r="28" spans="1:4">
      <c r="A28" s="48"/>
      <c r="B28" s="145"/>
      <c r="C28" s="145"/>
      <c r="D28" s="145"/>
    </row>
    <row r="29" spans="1:4">
      <c r="A29" s="48"/>
      <c r="B29" s="145" t="s">
        <v>184</v>
      </c>
      <c r="C29" s="145" t="s">
        <v>185</v>
      </c>
      <c r="D29" s="145" t="s">
        <v>185</v>
      </c>
    </row>
    <row r="30" spans="1:4">
      <c r="A30" s="48"/>
      <c r="B30" s="145" t="s">
        <v>186</v>
      </c>
      <c r="C30" s="145" t="s">
        <v>187</v>
      </c>
      <c r="D30" s="145" t="s">
        <v>187</v>
      </c>
    </row>
    <row r="31" spans="1:4">
      <c r="A31" s="48"/>
      <c r="B31" s="145" t="s">
        <v>188</v>
      </c>
      <c r="C31" s="145" t="s">
        <v>189</v>
      </c>
      <c r="D31" s="145" t="s">
        <v>189</v>
      </c>
    </row>
    <row r="32" spans="1:4">
      <c r="A32" s="48"/>
      <c r="B32" s="145"/>
      <c r="C32" s="145"/>
      <c r="D32" s="145"/>
    </row>
    <row r="33" spans="1:4">
      <c r="A33" s="48"/>
      <c r="B33" s="145" t="s">
        <v>190</v>
      </c>
      <c r="C33" s="145" t="s">
        <v>191</v>
      </c>
      <c r="D33" s="145" t="s">
        <v>191</v>
      </c>
    </row>
    <row r="34" spans="1:4">
      <c r="A34" s="48"/>
      <c r="B34" s="145"/>
      <c r="C34" s="145"/>
      <c r="D34" s="145"/>
    </row>
    <row r="35" spans="1:4">
      <c r="A35" s="48"/>
      <c r="B35" s="145" t="s">
        <v>192</v>
      </c>
      <c r="C35" s="145" t="s">
        <v>192</v>
      </c>
      <c r="D35" s="145" t="s">
        <v>192</v>
      </c>
    </row>
    <row r="36" spans="1:4">
      <c r="A36" s="48"/>
      <c r="B36" s="145"/>
      <c r="C36" s="145"/>
      <c r="D36" s="145"/>
    </row>
    <row r="37" spans="1:4">
      <c r="A37" s="76" t="s">
        <v>193</v>
      </c>
      <c r="B37" s="144" t="s">
        <v>152</v>
      </c>
      <c r="C37" s="144" t="s">
        <v>153</v>
      </c>
      <c r="D37" s="144" t="s">
        <v>154</v>
      </c>
    </row>
    <row r="38" spans="1:4">
      <c r="A38" s="77"/>
      <c r="B38" s="145" t="s">
        <v>192</v>
      </c>
      <c r="C38" s="145" t="s">
        <v>194</v>
      </c>
      <c r="D38" s="145" t="s">
        <v>194</v>
      </c>
    </row>
    <row r="39" spans="1:4">
      <c r="A39" s="48"/>
      <c r="B39" s="145"/>
      <c r="C39" s="145"/>
      <c r="D39" s="145"/>
    </row>
    <row r="41" spans="1:4">
      <c r="A41" s="48" t="s">
        <v>118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1">
    <tabColor rgb="FF0070C0"/>
    <pageSetUpPr fitToPage="1"/>
  </sheetPr>
  <dimension ref="A1:AH88"/>
  <sheetViews>
    <sheetView zoomScale="85" zoomScaleNormal="85" workbookViewId="0"/>
  </sheetViews>
  <sheetFormatPr defaultColWidth="9.140625" defaultRowHeight="13.15" outlineLevelCol="1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">
      <c r="A1" s="40" t="s">
        <v>473</v>
      </c>
    </row>
    <row r="2" spans="1:33" ht="18">
      <c r="A2" s="40"/>
    </row>
    <row r="3" spans="1:33" ht="18">
      <c r="A3" s="40"/>
    </row>
    <row r="4" spans="1:33" ht="18">
      <c r="A4" s="40"/>
    </row>
    <row r="5" spans="1:33" ht="13.9">
      <c r="E5" s="65" t="s">
        <v>434</v>
      </c>
      <c r="AA5" s="65" t="s">
        <v>434</v>
      </c>
      <c r="AF5" s="82" t="s">
        <v>435</v>
      </c>
      <c r="AG5" s="81" t="s">
        <v>474</v>
      </c>
    </row>
    <row r="6" spans="1:33" ht="13.9">
      <c r="A6" s="101" t="s">
        <v>212</v>
      </c>
      <c r="B6" s="102" t="s">
        <v>475</v>
      </c>
      <c r="C6" s="103"/>
      <c r="D6" s="103"/>
      <c r="E6" s="104">
        <v>40178</v>
      </c>
      <c r="W6" s="101" t="s">
        <v>212</v>
      </c>
      <c r="X6" s="102" t="s">
        <v>475</v>
      </c>
      <c r="Y6" s="103"/>
      <c r="Z6" s="103"/>
      <c r="AA6" s="104">
        <v>40178</v>
      </c>
      <c r="AC6" s="67" t="s">
        <v>136</v>
      </c>
      <c r="AD6" s="68"/>
      <c r="AE6" s="68"/>
      <c r="AF6" s="42">
        <f>AVERAGE(Y$13:Y$49)</f>
        <v>14.257142857142858</v>
      </c>
      <c r="AG6" s="79">
        <f>AF6-Credit_2009Q4!AF6</f>
        <v>5.7142857142858716E-2</v>
      </c>
    </row>
    <row r="7" spans="1:33" ht="14.45" thickBot="1">
      <c r="A7" s="45" t="s">
        <v>431</v>
      </c>
      <c r="B7" s="46" t="s">
        <v>164</v>
      </c>
      <c r="C7" s="46">
        <v>18</v>
      </c>
      <c r="D7" s="46" t="s">
        <v>432</v>
      </c>
      <c r="E7" s="61">
        <f t="shared" ref="E7:E14" si="0">VLOOKUP($D7,$Q$7:$R$69,2,0)</f>
        <v>0.99706741779950658</v>
      </c>
      <c r="F7" s="373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0.82576712904581762</v>
      </c>
      <c r="S7" s="93" t="s">
        <v>203</v>
      </c>
      <c r="W7" s="45" t="s">
        <v>437</v>
      </c>
      <c r="X7" s="46" t="s">
        <v>139</v>
      </c>
      <c r="Y7" s="46">
        <v>16</v>
      </c>
      <c r="Z7" s="46" t="s">
        <v>438</v>
      </c>
      <c r="AA7" s="61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9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si="0"/>
        <v>0.93000422702993502</v>
      </c>
      <c r="F8" s="373"/>
      <c r="G8" s="37" t="s">
        <v>137</v>
      </c>
      <c r="H8" s="49">
        <f>COUNTIF(C$7:C$74,"&gt;16")</f>
        <v>4</v>
      </c>
      <c r="I8" s="50">
        <f>H8/H$14</f>
        <v>6.0606060606060608E-2</v>
      </c>
      <c r="K8" s="122"/>
      <c r="M8" s="122"/>
      <c r="N8" s="122"/>
      <c r="O8" s="122"/>
      <c r="Q8" s="93" t="s">
        <v>223</v>
      </c>
      <c r="R8" s="94">
        <v>0.97067096880946468</v>
      </c>
      <c r="S8" s="93" t="s">
        <v>203</v>
      </c>
      <c r="W8" s="45" t="s">
        <v>439</v>
      </c>
      <c r="X8" s="46" t="s">
        <v>139</v>
      </c>
      <c r="Y8" s="46">
        <v>16</v>
      </c>
      <c r="Z8" s="46" t="s">
        <v>440</v>
      </c>
      <c r="AA8" s="61" t="s">
        <v>423</v>
      </c>
      <c r="AC8" s="37" t="s">
        <v>137</v>
      </c>
      <c r="AD8" s="49">
        <f>COUNTIF(Y$13:Y$49,"&gt;16")</f>
        <v>3</v>
      </c>
      <c r="AE8" s="50">
        <f>AD8/AD$14</f>
        <v>8.5714285714285715E-2</v>
      </c>
      <c r="AG8" s="80"/>
    </row>
    <row r="9" spans="1:33" ht="13.9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0.89410444897115693</v>
      </c>
      <c r="F9" s="373"/>
      <c r="G9" s="37" t="s">
        <v>139</v>
      </c>
      <c r="H9" s="49">
        <f>COUNTIF(C$7:C$74,"=16")</f>
        <v>10</v>
      </c>
      <c r="I9" s="50">
        <f t="shared" ref="I9:I14" si="1">H9/H$14</f>
        <v>0.15151515151515152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0" t="s">
        <v>423</v>
      </c>
      <c r="AC9" s="37" t="s">
        <v>139</v>
      </c>
      <c r="AD9" s="49">
        <f>COUNTIF(Y$13:Y$49,"=16")</f>
        <v>5</v>
      </c>
      <c r="AE9" s="50">
        <f t="shared" ref="AE9:AE14" si="2">AD9/AD$14</f>
        <v>0.14285714285714285</v>
      </c>
      <c r="AG9" s="80"/>
    </row>
    <row r="10" spans="1:33" ht="13.9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0.58142655748172922</v>
      </c>
      <c r="F10" s="373"/>
      <c r="G10" s="37" t="s">
        <v>140</v>
      </c>
      <c r="H10" s="49">
        <f>COUNTIF(C$7:C$74,"=15")</f>
        <v>16</v>
      </c>
      <c r="I10" s="50">
        <f t="shared" si="1"/>
        <v>0.24242424242424243</v>
      </c>
      <c r="K10" s="122"/>
      <c r="M10" s="122"/>
      <c r="N10" s="122"/>
      <c r="O10" s="122"/>
      <c r="Q10" s="93" t="s">
        <v>218</v>
      </c>
      <c r="R10" s="94">
        <v>0.91262379340604238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0" t="s">
        <v>423</v>
      </c>
      <c r="AC10" s="37" t="s">
        <v>140</v>
      </c>
      <c r="AD10" s="49">
        <f>COUNTIF(Y$13:Y$49,"=15")</f>
        <v>6</v>
      </c>
      <c r="AE10" s="50">
        <f t="shared" si="2"/>
        <v>0.17142857142857143</v>
      </c>
      <c r="AG10" s="80"/>
    </row>
    <row r="11" spans="1:33" ht="13.9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73"/>
      <c r="G11" s="37" t="s">
        <v>141</v>
      </c>
      <c r="H11" s="49">
        <f>COUNTIF(C$7:C$74,"=14")</f>
        <v>16</v>
      </c>
      <c r="I11" s="50">
        <f t="shared" si="1"/>
        <v>0.24242424242424243</v>
      </c>
      <c r="K11" s="122"/>
      <c r="M11" s="122"/>
      <c r="N11" s="122"/>
      <c r="O11" s="122"/>
      <c r="Q11" s="93" t="s">
        <v>239</v>
      </c>
      <c r="R11" s="94">
        <v>0.9427287640364086</v>
      </c>
      <c r="S11" s="93" t="s">
        <v>203</v>
      </c>
      <c r="W11" s="45" t="s">
        <v>446</v>
      </c>
      <c r="X11" s="46" t="s">
        <v>141</v>
      </c>
      <c r="Y11" s="46">
        <v>14</v>
      </c>
      <c r="Z11" s="46" t="s">
        <v>447</v>
      </c>
      <c r="AA11" s="61" t="s">
        <v>423</v>
      </c>
      <c r="AC11" s="37" t="s">
        <v>141</v>
      </c>
      <c r="AD11" s="49">
        <f>COUNTIF(Y$13:Y$49,"=14")</f>
        <v>11</v>
      </c>
      <c r="AE11" s="50">
        <f t="shared" si="2"/>
        <v>0.31428571428571428</v>
      </c>
      <c r="AG11" s="80"/>
    </row>
    <row r="12" spans="1:33" ht="13.9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0.7497019635343618</v>
      </c>
      <c r="F12" s="373"/>
      <c r="G12" s="37" t="s">
        <v>142</v>
      </c>
      <c r="H12" s="49">
        <f>COUNTIF(C$7:C$74,"=13")</f>
        <v>15</v>
      </c>
      <c r="I12" s="50">
        <f t="shared" si="1"/>
        <v>0.22727272727272727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0" t="s">
        <v>423</v>
      </c>
      <c r="AC12" s="37" t="s">
        <v>142</v>
      </c>
      <c r="AD12" s="49">
        <f>COUNTIF(Y$13:Y$49,"=13")</f>
        <v>6</v>
      </c>
      <c r="AE12" s="50">
        <f t="shared" si="2"/>
        <v>0.17142857142857143</v>
      </c>
      <c r="AG12" s="80"/>
    </row>
    <row r="13" spans="1:33" ht="14.45" thickBot="1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73"/>
      <c r="G13" s="53" t="s">
        <v>143</v>
      </c>
      <c r="H13" s="55">
        <f>COUNTIF(C$7:C$74,"&lt;13")</f>
        <v>5</v>
      </c>
      <c r="I13" s="56">
        <f t="shared" si="1"/>
        <v>7.575757575757576E-2</v>
      </c>
      <c r="Q13" s="93" t="s">
        <v>246</v>
      </c>
      <c r="R13" s="94">
        <v>0.70643925978729205</v>
      </c>
      <c r="S13" s="93" t="s">
        <v>204</v>
      </c>
      <c r="W13" s="45" t="s">
        <v>352</v>
      </c>
      <c r="X13" s="46" t="s">
        <v>141</v>
      </c>
      <c r="Y13" s="46">
        <v>14</v>
      </c>
      <c r="Z13" s="46" t="s">
        <v>353</v>
      </c>
      <c r="AA13" s="61">
        <v>1.0333026830763428</v>
      </c>
      <c r="AC13" s="53" t="s">
        <v>143</v>
      </c>
      <c r="AD13" s="55">
        <f>COUNTIF(Y$13:Y$49,"&lt;13")</f>
        <v>4</v>
      </c>
      <c r="AE13" s="56">
        <f t="shared" si="2"/>
        <v>0.11428571428571428</v>
      </c>
      <c r="AG13" s="80"/>
    </row>
    <row r="14" spans="1:33" ht="13.9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0.55330389203021169</v>
      </c>
      <c r="F14" s="373"/>
      <c r="G14" s="41" t="s">
        <v>144</v>
      </c>
      <c r="H14" s="51">
        <f>SUM(H8:H13)</f>
        <v>66</v>
      </c>
      <c r="I14" s="52">
        <f t="shared" si="1"/>
        <v>1</v>
      </c>
      <c r="Q14" s="93" t="s">
        <v>451</v>
      </c>
      <c r="R14" s="94">
        <v>0.7469877361024081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0">
        <v>1.0293089747728885</v>
      </c>
      <c r="AC14" s="41" t="s">
        <v>144</v>
      </c>
      <c r="AD14" s="51">
        <f>SUM(AD8:AD13)</f>
        <v>35</v>
      </c>
      <c r="AE14" s="52">
        <f t="shared" si="2"/>
        <v>1</v>
      </c>
      <c r="AG14" s="80"/>
    </row>
    <row r="15" spans="1:33" ht="13.9">
      <c r="A15" s="45" t="s">
        <v>437</v>
      </c>
      <c r="B15" s="46" t="s">
        <v>139</v>
      </c>
      <c r="C15" s="46">
        <v>16</v>
      </c>
      <c r="D15" s="46" t="s">
        <v>438</v>
      </c>
      <c r="E15" s="61" t="s">
        <v>423</v>
      </c>
      <c r="F15" s="373"/>
      <c r="K15" s="5"/>
      <c r="Q15" s="93" t="s">
        <v>452</v>
      </c>
      <c r="R15" s="94">
        <v>0.27216238256230779</v>
      </c>
      <c r="S15" s="93" t="s">
        <v>194</v>
      </c>
      <c r="W15" s="45" t="s">
        <v>259</v>
      </c>
      <c r="X15" s="46" t="s">
        <v>139</v>
      </c>
      <c r="Y15" s="46">
        <v>16</v>
      </c>
      <c r="Z15" s="46" t="s">
        <v>454</v>
      </c>
      <c r="AA15" s="61">
        <v>1</v>
      </c>
      <c r="AG15" s="80"/>
    </row>
    <row r="16" spans="1:33" ht="13.9">
      <c r="A16" s="45" t="s">
        <v>439</v>
      </c>
      <c r="B16" s="46" t="s">
        <v>139</v>
      </c>
      <c r="C16" s="46">
        <v>16</v>
      </c>
      <c r="D16" s="46" t="s">
        <v>440</v>
      </c>
      <c r="E16" s="61" t="s">
        <v>423</v>
      </c>
      <c r="F16" s="373"/>
      <c r="K16" s="5"/>
      <c r="Q16" s="93" t="s">
        <v>453</v>
      </c>
      <c r="R16" s="94">
        <v>0.87497195036407094</v>
      </c>
      <c r="S16" s="93" t="s">
        <v>203</v>
      </c>
      <c r="W16" s="45" t="s">
        <v>328</v>
      </c>
      <c r="X16" s="46" t="s">
        <v>141</v>
      </c>
      <c r="Y16" s="46">
        <v>14</v>
      </c>
      <c r="Z16" s="46" t="s">
        <v>331</v>
      </c>
      <c r="AA16" s="61">
        <v>1</v>
      </c>
      <c r="AG16" s="80"/>
    </row>
    <row r="17" spans="1:33" ht="13.9">
      <c r="A17" s="45" t="s">
        <v>345</v>
      </c>
      <c r="B17" s="46" t="s">
        <v>139</v>
      </c>
      <c r="C17" s="46">
        <v>16</v>
      </c>
      <c r="D17" s="46" t="s">
        <v>346</v>
      </c>
      <c r="E17" s="61">
        <f t="shared" ref="E17:E22" si="3">VLOOKUP($D17,$Q$7:$R$69,2,0)</f>
        <v>0.96644084643352246</v>
      </c>
      <c r="F17" s="373"/>
      <c r="K17" s="5"/>
      <c r="Q17" s="93" t="s">
        <v>257</v>
      </c>
      <c r="R17" s="94">
        <v>0.90135028841111697</v>
      </c>
      <c r="S17" s="93" t="s">
        <v>203</v>
      </c>
      <c r="W17" s="45" t="s">
        <v>285</v>
      </c>
      <c r="X17" s="46" t="s">
        <v>141</v>
      </c>
      <c r="Y17" s="46">
        <v>14</v>
      </c>
      <c r="Z17" s="46" t="s">
        <v>286</v>
      </c>
      <c r="AA17" s="61">
        <v>1</v>
      </c>
      <c r="AC17" s="67" t="s">
        <v>145</v>
      </c>
      <c r="AD17" s="68"/>
      <c r="AE17" s="68"/>
      <c r="AF17" s="42">
        <f>AVERAGE(Y$50:Y$69)</f>
        <v>14.55</v>
      </c>
      <c r="AG17" s="79">
        <f>AF17-Credit_2009Q4!AF17</f>
        <v>-4.9999999999998934E-2</v>
      </c>
    </row>
    <row r="18" spans="1:33" ht="14.45" thickBot="1">
      <c r="A18" s="45" t="s">
        <v>251</v>
      </c>
      <c r="B18" s="46" t="s">
        <v>139</v>
      </c>
      <c r="C18" s="46">
        <v>16</v>
      </c>
      <c r="D18" s="46" t="s">
        <v>252</v>
      </c>
      <c r="E18" s="61">
        <f t="shared" si="3"/>
        <v>0.94699999999999995</v>
      </c>
      <c r="F18" s="373"/>
      <c r="K18" s="5"/>
      <c r="Q18" s="93" t="s">
        <v>378</v>
      </c>
      <c r="R18" s="94">
        <v>0.91044690077830015</v>
      </c>
      <c r="S18" s="93" t="s">
        <v>203</v>
      </c>
      <c r="W18" s="45" t="s">
        <v>354</v>
      </c>
      <c r="X18" s="46" t="s">
        <v>141</v>
      </c>
      <c r="Y18" s="46">
        <v>14</v>
      </c>
      <c r="Z18" s="46" t="s">
        <v>355</v>
      </c>
      <c r="AA18" s="61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9">
      <c r="A19" s="37" t="s">
        <v>217</v>
      </c>
      <c r="B19" s="44" t="s">
        <v>140</v>
      </c>
      <c r="C19" s="44">
        <v>15</v>
      </c>
      <c r="D19" s="44" t="s">
        <v>218</v>
      </c>
      <c r="E19" s="60">
        <f t="shared" si="3"/>
        <v>0.91262379340604238</v>
      </c>
      <c r="F19" s="373"/>
      <c r="K19" s="5"/>
      <c r="Q19" s="93" t="s">
        <v>250</v>
      </c>
      <c r="R19" s="94">
        <v>0.72270267536539723</v>
      </c>
      <c r="S19" s="93" t="s">
        <v>204</v>
      </c>
      <c r="W19" s="37" t="s">
        <v>287</v>
      </c>
      <c r="X19" s="44" t="s">
        <v>142</v>
      </c>
      <c r="Y19" s="44">
        <v>13</v>
      </c>
      <c r="Z19" s="44" t="s">
        <v>441</v>
      </c>
      <c r="AA19" s="60">
        <v>1</v>
      </c>
      <c r="AC19" s="37" t="s">
        <v>137</v>
      </c>
      <c r="AD19" s="49">
        <f>COUNTIF(Y$50:Y$69,"&gt;16")</f>
        <v>1</v>
      </c>
      <c r="AE19" s="50">
        <f>AD19/AD$14</f>
        <v>2.8571428571428571E-2</v>
      </c>
      <c r="AG19" s="80"/>
    </row>
    <row r="20" spans="1:33" ht="13.9">
      <c r="A20" s="37" t="s">
        <v>219</v>
      </c>
      <c r="B20" s="44" t="s">
        <v>140</v>
      </c>
      <c r="C20" s="44">
        <v>15</v>
      </c>
      <c r="D20" s="44" t="s">
        <v>220</v>
      </c>
      <c r="E20" s="60">
        <f t="shared" si="3"/>
        <v>0.84890438247011957</v>
      </c>
      <c r="F20" s="373"/>
      <c r="K20" s="5"/>
      <c r="Q20" s="93" t="s">
        <v>425</v>
      </c>
      <c r="R20" s="94">
        <v>0.99675869094774683</v>
      </c>
      <c r="S20" s="93" t="s">
        <v>203</v>
      </c>
      <c r="W20" s="37" t="s">
        <v>301</v>
      </c>
      <c r="X20" s="44" t="s">
        <v>140</v>
      </c>
      <c r="Y20" s="44">
        <v>15</v>
      </c>
      <c r="Z20" s="44" t="s">
        <v>302</v>
      </c>
      <c r="AA20" s="60">
        <v>0.99967400162999187</v>
      </c>
      <c r="AC20" s="37" t="s">
        <v>139</v>
      </c>
      <c r="AD20" s="49">
        <f>COUNTIF(Y$50:Y$69,"=16")</f>
        <v>3</v>
      </c>
      <c r="AE20" s="50">
        <f t="shared" ref="AE20:AE25" si="4">AD20/AD$14</f>
        <v>8.5714285714285715E-2</v>
      </c>
      <c r="AG20" s="80"/>
    </row>
    <row r="21" spans="1:33" ht="13.9">
      <c r="A21" s="37" t="s">
        <v>261</v>
      </c>
      <c r="B21" s="44" t="s">
        <v>140</v>
      </c>
      <c r="C21" s="44">
        <v>15</v>
      </c>
      <c r="D21" s="44" t="s">
        <v>262</v>
      </c>
      <c r="E21" s="69">
        <f t="shared" si="3"/>
        <v>0.81467245298615421</v>
      </c>
      <c r="F21" s="373"/>
      <c r="Q21" s="93" t="s">
        <v>194</v>
      </c>
      <c r="R21" s="94">
        <v>0.58142655748172922</v>
      </c>
      <c r="S21" s="93" t="s">
        <v>204</v>
      </c>
      <c r="W21" s="37" t="s">
        <v>411</v>
      </c>
      <c r="X21" s="44" t="s">
        <v>175</v>
      </c>
      <c r="Y21" s="44">
        <v>11</v>
      </c>
      <c r="Z21" s="44" t="s">
        <v>412</v>
      </c>
      <c r="AA21" s="60">
        <v>0.99872589064335693</v>
      </c>
      <c r="AC21" s="37" t="s">
        <v>140</v>
      </c>
      <c r="AD21" s="49">
        <f>COUNTIF(Y$50:Y$69,"=15")</f>
        <v>6</v>
      </c>
      <c r="AE21" s="50">
        <f t="shared" si="4"/>
        <v>0.17142857142857143</v>
      </c>
      <c r="AG21" s="80"/>
    </row>
    <row r="22" spans="1:33" ht="13.9">
      <c r="A22" s="37" t="s">
        <v>395</v>
      </c>
      <c r="B22" s="44" t="s">
        <v>140</v>
      </c>
      <c r="C22" s="44">
        <v>15</v>
      </c>
      <c r="D22" s="44" t="s">
        <v>396</v>
      </c>
      <c r="E22" s="60">
        <f t="shared" si="3"/>
        <v>0.66731657086909912</v>
      </c>
      <c r="F22" s="373"/>
      <c r="Q22" s="93" t="s">
        <v>454</v>
      </c>
      <c r="R22" s="94">
        <v>1</v>
      </c>
      <c r="S22" s="93" t="s">
        <v>203</v>
      </c>
      <c r="W22" s="45" t="s">
        <v>431</v>
      </c>
      <c r="X22" s="46" t="s">
        <v>164</v>
      </c>
      <c r="Y22" s="46">
        <v>18</v>
      </c>
      <c r="Z22" s="46" t="s">
        <v>432</v>
      </c>
      <c r="AA22" s="61">
        <v>0.99706741779950658</v>
      </c>
      <c r="AC22" s="37" t="s">
        <v>141</v>
      </c>
      <c r="AD22" s="49">
        <f>COUNTIF(Y$50:Y$69,"=14")</f>
        <v>4</v>
      </c>
      <c r="AE22" s="50">
        <f t="shared" si="4"/>
        <v>0.11428571428571428</v>
      </c>
      <c r="AG22" s="80"/>
    </row>
    <row r="23" spans="1:33" ht="13.9">
      <c r="A23" s="37" t="s">
        <v>442</v>
      </c>
      <c r="B23" s="44" t="s">
        <v>140</v>
      </c>
      <c r="C23" s="44">
        <v>15</v>
      </c>
      <c r="D23" s="44" t="s">
        <v>443</v>
      </c>
      <c r="E23" s="60" t="s">
        <v>423</v>
      </c>
      <c r="F23" s="373"/>
      <c r="Q23" s="93" t="s">
        <v>262</v>
      </c>
      <c r="R23" s="94">
        <v>0.81467245298615421</v>
      </c>
      <c r="S23" s="93" t="s">
        <v>203</v>
      </c>
      <c r="W23" s="37" t="s">
        <v>424</v>
      </c>
      <c r="X23" s="47" t="s">
        <v>423</v>
      </c>
      <c r="Y23" s="47"/>
      <c r="Z23" s="44" t="s">
        <v>425</v>
      </c>
      <c r="AA23" s="69">
        <v>0.99675869094774683</v>
      </c>
      <c r="AC23" s="37" t="s">
        <v>142</v>
      </c>
      <c r="AD23" s="49">
        <f>COUNTIF(Y$50:Y$69,"=13")</f>
        <v>6</v>
      </c>
      <c r="AE23" s="50">
        <f t="shared" si="4"/>
        <v>0.17142857142857143</v>
      </c>
      <c r="AG23" s="80"/>
    </row>
    <row r="24" spans="1:33" ht="14.45" thickBot="1">
      <c r="A24" s="37" t="s">
        <v>444</v>
      </c>
      <c r="B24" s="44" t="s">
        <v>140</v>
      </c>
      <c r="C24" s="44">
        <v>15</v>
      </c>
      <c r="D24" s="44" t="s">
        <v>445</v>
      </c>
      <c r="E24" s="60" t="s">
        <v>423</v>
      </c>
      <c r="F24" s="373"/>
      <c r="Q24" s="93" t="s">
        <v>264</v>
      </c>
      <c r="R24" s="94">
        <v>0.7497019635343618</v>
      </c>
      <c r="S24" s="93" t="s">
        <v>204</v>
      </c>
      <c r="W24" s="45" t="s">
        <v>297</v>
      </c>
      <c r="X24" s="46" t="s">
        <v>141</v>
      </c>
      <c r="Y24" s="46">
        <v>14</v>
      </c>
      <c r="Z24" s="46" t="s">
        <v>298</v>
      </c>
      <c r="AA24" s="61">
        <v>0.99458022018280356</v>
      </c>
      <c r="AC24" s="53" t="s">
        <v>143</v>
      </c>
      <c r="AD24" s="55">
        <f>COUNTIF(Y$50:Y$69,"&lt;13")</f>
        <v>0</v>
      </c>
      <c r="AE24" s="56">
        <f t="shared" si="4"/>
        <v>0</v>
      </c>
      <c r="AG24" s="80"/>
    </row>
    <row r="25" spans="1:33" ht="13.9">
      <c r="A25" s="37" t="s">
        <v>271</v>
      </c>
      <c r="B25" s="44" t="s">
        <v>140</v>
      </c>
      <c r="C25" s="44">
        <v>15</v>
      </c>
      <c r="D25" s="44" t="s">
        <v>272</v>
      </c>
      <c r="E25" s="60">
        <f t="shared" ref="E25:E41" si="5">VLOOKUP($D25,$Q$7:$R$69,2,0)</f>
        <v>0.36017814864816144</v>
      </c>
      <c r="F25" s="373"/>
      <c r="Q25" s="93" t="s">
        <v>455</v>
      </c>
      <c r="R25" s="94">
        <v>0.96341849943457658</v>
      </c>
      <c r="S25" s="93" t="s">
        <v>203</v>
      </c>
      <c r="W25" s="45" t="s">
        <v>305</v>
      </c>
      <c r="X25" s="46" t="s">
        <v>173</v>
      </c>
      <c r="Y25" s="46">
        <v>12</v>
      </c>
      <c r="Z25" s="46" t="s">
        <v>456</v>
      </c>
      <c r="AA25" s="61">
        <v>0.99417211067658851</v>
      </c>
      <c r="AC25" s="41" t="s">
        <v>144</v>
      </c>
      <c r="AD25" s="51">
        <f>SUM(AD19:AD24)</f>
        <v>20</v>
      </c>
      <c r="AE25" s="52">
        <f t="shared" si="4"/>
        <v>0.5714285714285714</v>
      </c>
      <c r="AG25" s="80"/>
    </row>
    <row r="26" spans="1:33" ht="13.9">
      <c r="A26" s="37" t="s">
        <v>408</v>
      </c>
      <c r="B26" s="44" t="s">
        <v>140</v>
      </c>
      <c r="C26" s="44">
        <v>15</v>
      </c>
      <c r="D26" s="44" t="s">
        <v>451</v>
      </c>
      <c r="E26" s="60">
        <f t="shared" si="5"/>
        <v>0.7469877361024081</v>
      </c>
      <c r="F26" s="373"/>
      <c r="Q26" s="93" t="s">
        <v>228</v>
      </c>
      <c r="R26" s="94">
        <v>0.89410444897115693</v>
      </c>
      <c r="S26" s="93" t="s">
        <v>203</v>
      </c>
      <c r="W26" s="45" t="s">
        <v>389</v>
      </c>
      <c r="X26" s="46" t="s">
        <v>141</v>
      </c>
      <c r="Y26" s="46">
        <v>14</v>
      </c>
      <c r="Z26" s="46" t="s">
        <v>390</v>
      </c>
      <c r="AA26" s="61">
        <v>0.9915841495030967</v>
      </c>
      <c r="AG26" s="80"/>
    </row>
    <row r="27" spans="1:33" ht="13.9">
      <c r="A27" s="37" t="s">
        <v>277</v>
      </c>
      <c r="B27" s="44" t="s">
        <v>140</v>
      </c>
      <c r="C27" s="44">
        <v>15</v>
      </c>
      <c r="D27" s="44" t="s">
        <v>278</v>
      </c>
      <c r="E27" s="60">
        <f t="shared" si="5"/>
        <v>0.75386351438754873</v>
      </c>
      <c r="F27" s="373"/>
      <c r="Q27" s="93" t="s">
        <v>368</v>
      </c>
      <c r="R27" s="94">
        <v>1.0293089747728885</v>
      </c>
      <c r="S27" s="93" t="s">
        <v>203</v>
      </c>
      <c r="W27" s="37" t="s">
        <v>295</v>
      </c>
      <c r="X27" s="47" t="s">
        <v>423</v>
      </c>
      <c r="Y27" s="47"/>
      <c r="Z27" s="47" t="s">
        <v>296</v>
      </c>
      <c r="AA27" s="62">
        <v>0.98634859349145065</v>
      </c>
      <c r="AG27" s="80"/>
    </row>
    <row r="28" spans="1:33" ht="13.9">
      <c r="A28" s="37" t="s">
        <v>382</v>
      </c>
      <c r="B28" s="44" t="s">
        <v>140</v>
      </c>
      <c r="C28" s="44">
        <v>15</v>
      </c>
      <c r="D28" s="44" t="s">
        <v>383</v>
      </c>
      <c r="E28" s="69">
        <f>VLOOKUP($D28,$Q$7:$R$69,2,0)</f>
        <v>0.64890043729006908</v>
      </c>
      <c r="F28" s="373"/>
      <c r="Q28" s="93" t="s">
        <v>331</v>
      </c>
      <c r="R28" s="94">
        <v>1</v>
      </c>
      <c r="S28" s="93" t="s">
        <v>203</v>
      </c>
      <c r="W28" s="37" t="s">
        <v>281</v>
      </c>
      <c r="X28" s="44" t="s">
        <v>142</v>
      </c>
      <c r="Y28" s="44">
        <v>13</v>
      </c>
      <c r="Z28" s="44" t="s">
        <v>282</v>
      </c>
      <c r="AA28" s="60">
        <v>0.97501693766937669</v>
      </c>
      <c r="AC28" s="67" t="s">
        <v>147</v>
      </c>
      <c r="AD28" s="68"/>
      <c r="AE28" s="68"/>
      <c r="AF28" s="42">
        <f>AVERAGE(Y$70:Y$74)</f>
        <v>12.4</v>
      </c>
      <c r="AG28" s="79">
        <f>AF28-Credit_2009Q4!AF28</f>
        <v>-0.19999999999999929</v>
      </c>
    </row>
    <row r="29" spans="1:33" ht="14.45" thickBot="1">
      <c r="A29" s="37" t="s">
        <v>301</v>
      </c>
      <c r="B29" s="44" t="s">
        <v>140</v>
      </c>
      <c r="C29" s="44">
        <v>15</v>
      </c>
      <c r="D29" s="44" t="s">
        <v>302</v>
      </c>
      <c r="E29" s="60">
        <f t="shared" si="5"/>
        <v>0.99967400162999187</v>
      </c>
      <c r="F29" s="373"/>
      <c r="Q29" s="93" t="s">
        <v>457</v>
      </c>
      <c r="R29" s="94">
        <v>0.27230062686467099</v>
      </c>
      <c r="S29" s="93" t="s">
        <v>194</v>
      </c>
      <c r="W29" s="45" t="s">
        <v>222</v>
      </c>
      <c r="X29" s="46" t="s">
        <v>141</v>
      </c>
      <c r="Y29" s="46">
        <v>14</v>
      </c>
      <c r="Z29" s="46" t="s">
        <v>223</v>
      </c>
      <c r="AA29" s="61">
        <v>0.97067096880946468</v>
      </c>
      <c r="AC29" s="57" t="s">
        <v>210</v>
      </c>
      <c r="AD29" s="57" t="s">
        <v>134</v>
      </c>
      <c r="AE29" s="57" t="s">
        <v>135</v>
      </c>
    </row>
    <row r="30" spans="1:33" ht="13.9">
      <c r="A30" s="37" t="s">
        <v>243</v>
      </c>
      <c r="B30" s="44" t="s">
        <v>140</v>
      </c>
      <c r="C30" s="44">
        <v>15</v>
      </c>
      <c r="D30" s="44" t="s">
        <v>244</v>
      </c>
      <c r="E30" s="69">
        <f>VLOOKUP($D30,$Q$7:$R$69,2,0)</f>
        <v>0.42404692082111439</v>
      </c>
      <c r="F30" s="373"/>
      <c r="Q30" s="93" t="s">
        <v>266</v>
      </c>
      <c r="R30" s="94">
        <v>0.78356336260978665</v>
      </c>
      <c r="S30" s="93" t="s">
        <v>204</v>
      </c>
      <c r="W30" s="37" t="s">
        <v>458</v>
      </c>
      <c r="X30" s="44" t="s">
        <v>173</v>
      </c>
      <c r="Y30" s="44">
        <v>12</v>
      </c>
      <c r="Z30" s="44" t="s">
        <v>459</v>
      </c>
      <c r="AA30" s="69">
        <v>0.97028603165787286</v>
      </c>
      <c r="AC30" s="37" t="s">
        <v>137</v>
      </c>
      <c r="AD30" s="49">
        <f>COUNTIF(Y$70:Y$74,"&gt;16")</f>
        <v>0</v>
      </c>
      <c r="AE30" s="50">
        <f>AD30/AD$14</f>
        <v>0</v>
      </c>
    </row>
    <row r="31" spans="1:33" ht="13.9">
      <c r="A31" s="37" t="s">
        <v>427</v>
      </c>
      <c r="B31" s="44" t="s">
        <v>140</v>
      </c>
      <c r="C31" s="44">
        <v>15</v>
      </c>
      <c r="D31" s="44" t="s">
        <v>428</v>
      </c>
      <c r="E31" s="60">
        <f t="shared" si="5"/>
        <v>0.85164553720066594</v>
      </c>
      <c r="F31" s="373"/>
      <c r="K31" s="122"/>
      <c r="L31" s="122"/>
      <c r="Q31" s="93" t="s">
        <v>268</v>
      </c>
      <c r="R31" s="94">
        <v>0.79472908539599674</v>
      </c>
      <c r="S31" s="93" t="s">
        <v>204</v>
      </c>
      <c r="W31" s="45" t="s">
        <v>345</v>
      </c>
      <c r="X31" s="46" t="s">
        <v>139</v>
      </c>
      <c r="Y31" s="46">
        <v>16</v>
      </c>
      <c r="Z31" s="46" t="s">
        <v>346</v>
      </c>
      <c r="AA31" s="61">
        <v>0.96644084643352246</v>
      </c>
      <c r="AC31" s="37" t="s">
        <v>139</v>
      </c>
      <c r="AD31" s="49">
        <f>COUNTIF(Y$70:Y$74,"=16")</f>
        <v>0</v>
      </c>
      <c r="AE31" s="50">
        <f t="shared" ref="AE31:AE36" si="6">AD31/AD$14</f>
        <v>0</v>
      </c>
    </row>
    <row r="32" spans="1:33" ht="13.9">
      <c r="A32" s="37" t="s">
        <v>347</v>
      </c>
      <c r="B32" s="44" t="s">
        <v>140</v>
      </c>
      <c r="C32" s="44">
        <v>15</v>
      </c>
      <c r="D32" s="44" t="s">
        <v>348</v>
      </c>
      <c r="E32" s="60">
        <f t="shared" si="5"/>
        <v>0.77327600463039525</v>
      </c>
      <c r="F32" s="373"/>
      <c r="L32" s="122"/>
      <c r="Q32" s="93" t="s">
        <v>270</v>
      </c>
      <c r="R32" s="94">
        <v>0.60422936152907691</v>
      </c>
      <c r="S32" s="93" t="s">
        <v>204</v>
      </c>
      <c r="W32" s="45" t="s">
        <v>460</v>
      </c>
      <c r="X32" s="46" t="s">
        <v>139</v>
      </c>
      <c r="Y32" s="46">
        <v>16</v>
      </c>
      <c r="Z32" s="46" t="s">
        <v>455</v>
      </c>
      <c r="AA32" s="61">
        <v>0.96341849943457658</v>
      </c>
      <c r="AC32" s="37" t="s">
        <v>140</v>
      </c>
      <c r="AD32" s="49">
        <f>COUNTIF(Y$70:Y$74,"=15")</f>
        <v>2</v>
      </c>
      <c r="AE32" s="50">
        <f t="shared" si="6"/>
        <v>5.7142857142857141E-2</v>
      </c>
    </row>
    <row r="33" spans="1:31" ht="13.9">
      <c r="A33" s="37" t="s">
        <v>291</v>
      </c>
      <c r="B33" s="44" t="s">
        <v>140</v>
      </c>
      <c r="C33" s="44">
        <v>15</v>
      </c>
      <c r="D33" s="44" t="s">
        <v>292</v>
      </c>
      <c r="E33" s="60">
        <f t="shared" si="5"/>
        <v>0.614337822671156</v>
      </c>
      <c r="F33" s="373"/>
      <c r="L33" s="122"/>
      <c r="Q33" s="93" t="s">
        <v>276</v>
      </c>
      <c r="R33" s="94">
        <v>0.66983442164179108</v>
      </c>
      <c r="S33" s="93" t="s">
        <v>204</v>
      </c>
      <c r="W33" s="45" t="s">
        <v>394</v>
      </c>
      <c r="X33" s="46" t="s">
        <v>141</v>
      </c>
      <c r="Y33" s="46">
        <v>14</v>
      </c>
      <c r="Z33" s="46" t="s">
        <v>236</v>
      </c>
      <c r="AA33" s="61">
        <v>0.9619710194413027</v>
      </c>
      <c r="AC33" s="37" t="s">
        <v>141</v>
      </c>
      <c r="AD33" s="49">
        <f>COUNTIF(Y$70:Y$74,"=14")</f>
        <v>0</v>
      </c>
      <c r="AE33" s="50">
        <f t="shared" si="6"/>
        <v>0</v>
      </c>
    </row>
    <row r="34" spans="1:31" ht="13.9">
      <c r="A34" s="37" t="s">
        <v>247</v>
      </c>
      <c r="B34" s="44" t="s">
        <v>140</v>
      </c>
      <c r="C34" s="44">
        <v>15</v>
      </c>
      <c r="D34" s="44" t="s">
        <v>248</v>
      </c>
      <c r="E34" s="60">
        <f t="shared" si="5"/>
        <v>0.84932154135723226</v>
      </c>
      <c r="F34" s="373"/>
      <c r="L34" s="122"/>
      <c r="Q34" s="93" t="s">
        <v>353</v>
      </c>
      <c r="R34" s="94">
        <v>1.0333026830763428</v>
      </c>
      <c r="S34" s="93" t="s">
        <v>203</v>
      </c>
      <c r="W34" s="45" t="s">
        <v>283</v>
      </c>
      <c r="X34" s="46" t="s">
        <v>141</v>
      </c>
      <c r="Y34" s="46">
        <v>14</v>
      </c>
      <c r="Z34" s="46" t="s">
        <v>284</v>
      </c>
      <c r="AA34" s="61">
        <v>0.96099371344273887</v>
      </c>
      <c r="AC34" s="37" t="s">
        <v>142</v>
      </c>
      <c r="AD34" s="49">
        <f>COUNTIF(Y$70:Y$74,"=13")</f>
        <v>2</v>
      </c>
      <c r="AE34" s="50">
        <f t="shared" si="6"/>
        <v>5.7142857142857141E-2</v>
      </c>
    </row>
    <row r="35" spans="1:31" ht="14.45" thickBot="1">
      <c r="A35" s="45" t="s">
        <v>222</v>
      </c>
      <c r="B35" s="46" t="s">
        <v>141</v>
      </c>
      <c r="C35" s="46">
        <v>14</v>
      </c>
      <c r="D35" s="46" t="s">
        <v>223</v>
      </c>
      <c r="E35" s="61">
        <f t="shared" si="5"/>
        <v>0.97067096880946468</v>
      </c>
      <c r="F35" s="373"/>
      <c r="G35" s="49" t="s">
        <v>373</v>
      </c>
      <c r="L35" s="122"/>
      <c r="Q35" s="93" t="s">
        <v>280</v>
      </c>
      <c r="R35" s="94">
        <v>0.44575810739314115</v>
      </c>
      <c r="S35" s="93" t="s">
        <v>194</v>
      </c>
      <c r="W35" s="45" t="s">
        <v>251</v>
      </c>
      <c r="X35" s="46" t="s">
        <v>139</v>
      </c>
      <c r="Y35" s="46">
        <v>16</v>
      </c>
      <c r="Z35" s="46" t="s">
        <v>252</v>
      </c>
      <c r="AA35" s="61">
        <v>0.94699999999999995</v>
      </c>
      <c r="AC35" s="53" t="s">
        <v>143</v>
      </c>
      <c r="AD35" s="55">
        <f>COUNTIF(Y$70:Y$74,"&lt;13")</f>
        <v>1</v>
      </c>
      <c r="AE35" s="56">
        <f t="shared" si="6"/>
        <v>2.8571428571428571E-2</v>
      </c>
    </row>
    <row r="36" spans="1:31" ht="13.9">
      <c r="A36" s="45" t="s">
        <v>249</v>
      </c>
      <c r="B36" s="46" t="s">
        <v>141</v>
      </c>
      <c r="C36" s="46">
        <v>14</v>
      </c>
      <c r="D36" s="46" t="s">
        <v>250</v>
      </c>
      <c r="E36" s="61">
        <f t="shared" si="5"/>
        <v>0.72270267536539723</v>
      </c>
      <c r="F36" s="373"/>
      <c r="G36" s="92"/>
      <c r="H36" s="7"/>
      <c r="I36" s="7"/>
      <c r="L36" s="122"/>
      <c r="Q36" s="93" t="s">
        <v>284</v>
      </c>
      <c r="R36" s="94">
        <v>0.96099371344273887</v>
      </c>
      <c r="S36" s="93" t="s">
        <v>203</v>
      </c>
      <c r="W36" s="37" t="s">
        <v>238</v>
      </c>
      <c r="X36" s="44" t="s">
        <v>142</v>
      </c>
      <c r="Y36" s="44">
        <v>13</v>
      </c>
      <c r="Z36" s="44" t="s">
        <v>239</v>
      </c>
      <c r="AA36" s="60">
        <v>0.9427287640364086</v>
      </c>
      <c r="AC36" s="41" t="s">
        <v>144</v>
      </c>
      <c r="AD36" s="51">
        <f>SUM(AD30:AD35)</f>
        <v>5</v>
      </c>
      <c r="AE36" s="52">
        <f t="shared" si="6"/>
        <v>0.14285714285714285</v>
      </c>
    </row>
    <row r="37" spans="1:31" ht="13.9">
      <c r="A37" s="45" t="s">
        <v>254</v>
      </c>
      <c r="B37" s="46" t="s">
        <v>141</v>
      </c>
      <c r="C37" s="46">
        <v>14</v>
      </c>
      <c r="D37" s="46" t="s">
        <v>378</v>
      </c>
      <c r="E37" s="61">
        <f t="shared" si="5"/>
        <v>0.91044690077830015</v>
      </c>
      <c r="F37" s="373"/>
      <c r="H37" s="5"/>
      <c r="J37" s="7"/>
      <c r="Q37" s="93" t="s">
        <v>220</v>
      </c>
      <c r="R37" s="94">
        <v>0.84890438247011957</v>
      </c>
      <c r="S37" s="93" t="s">
        <v>203</v>
      </c>
      <c r="W37" s="37" t="s">
        <v>293</v>
      </c>
      <c r="X37" s="44" t="s">
        <v>166</v>
      </c>
      <c r="Y37" s="44">
        <v>17</v>
      </c>
      <c r="Z37" s="44" t="s">
        <v>294</v>
      </c>
      <c r="AA37" s="60">
        <v>0.93000422702993502</v>
      </c>
    </row>
    <row r="38" spans="1:31" ht="13.9">
      <c r="A38" s="45" t="s">
        <v>328</v>
      </c>
      <c r="B38" s="46" t="s">
        <v>141</v>
      </c>
      <c r="C38" s="46">
        <v>14</v>
      </c>
      <c r="D38" s="46" t="s">
        <v>331</v>
      </c>
      <c r="E38" s="61">
        <f t="shared" si="5"/>
        <v>1</v>
      </c>
      <c r="F38" s="373"/>
      <c r="H38" s="5"/>
      <c r="J38" s="8"/>
      <c r="Q38" s="93" t="s">
        <v>476</v>
      </c>
      <c r="R38" s="94">
        <v>0.98237685298627964</v>
      </c>
      <c r="S38" s="93" t="s">
        <v>203</v>
      </c>
      <c r="W38" s="37" t="s">
        <v>217</v>
      </c>
      <c r="X38" s="44" t="s">
        <v>140</v>
      </c>
      <c r="Y38" s="44">
        <v>15</v>
      </c>
      <c r="Z38" s="44" t="s">
        <v>218</v>
      </c>
      <c r="AA38" s="60">
        <v>0.91262379340604238</v>
      </c>
    </row>
    <row r="39" spans="1:31" ht="13.9">
      <c r="A39" s="45" t="s">
        <v>267</v>
      </c>
      <c r="B39" s="46" t="s">
        <v>141</v>
      </c>
      <c r="C39" s="46">
        <v>14</v>
      </c>
      <c r="D39" s="46" t="s">
        <v>268</v>
      </c>
      <c r="E39" s="61">
        <f t="shared" si="5"/>
        <v>0.79472908539599674</v>
      </c>
      <c r="F39" s="373"/>
      <c r="H39" s="5"/>
      <c r="J39" s="8"/>
      <c r="Q39" s="93" t="s">
        <v>272</v>
      </c>
      <c r="R39" s="94">
        <v>0.36017814864816144</v>
      </c>
      <c r="S39" s="93" t="s">
        <v>194</v>
      </c>
      <c r="W39" s="45" t="s">
        <v>254</v>
      </c>
      <c r="X39" s="46" t="s">
        <v>141</v>
      </c>
      <c r="Y39" s="46">
        <v>14</v>
      </c>
      <c r="Z39" s="46" t="s">
        <v>378</v>
      </c>
      <c r="AA39" s="61">
        <v>0.91044690077830015</v>
      </c>
    </row>
    <row r="40" spans="1:31" ht="13.9">
      <c r="A40" s="45" t="s">
        <v>269</v>
      </c>
      <c r="B40" s="46" t="s">
        <v>141</v>
      </c>
      <c r="C40" s="46">
        <v>14</v>
      </c>
      <c r="D40" s="46" t="s">
        <v>270</v>
      </c>
      <c r="E40" s="61">
        <f t="shared" si="5"/>
        <v>0.60422936152907691</v>
      </c>
      <c r="F40" s="373"/>
      <c r="H40" s="5"/>
      <c r="J40" s="8"/>
      <c r="Q40" s="93" t="s">
        <v>461</v>
      </c>
      <c r="R40" s="94">
        <v>0.77794419936265724</v>
      </c>
      <c r="S40" s="93" t="s">
        <v>204</v>
      </c>
      <c r="W40" s="45" t="s">
        <v>369</v>
      </c>
      <c r="X40" s="46" t="s">
        <v>141</v>
      </c>
      <c r="Y40" s="46">
        <v>14</v>
      </c>
      <c r="Z40" s="46" t="s">
        <v>375</v>
      </c>
      <c r="AA40" s="61">
        <v>0.90975829351063098</v>
      </c>
    </row>
    <row r="41" spans="1:31" ht="13.9">
      <c r="A41" s="45" t="s">
        <v>352</v>
      </c>
      <c r="B41" s="46" t="s">
        <v>141</v>
      </c>
      <c r="C41" s="46">
        <v>14</v>
      </c>
      <c r="D41" s="46" t="s">
        <v>353</v>
      </c>
      <c r="E41" s="61">
        <f t="shared" si="5"/>
        <v>1.0333026830763428</v>
      </c>
      <c r="F41" s="373"/>
      <c r="H41" s="5"/>
      <c r="J41" s="8"/>
      <c r="Q41" s="93" t="s">
        <v>241</v>
      </c>
      <c r="R41" s="94">
        <v>0.55330389203021169</v>
      </c>
      <c r="S41" s="93" t="s">
        <v>204</v>
      </c>
      <c r="W41" s="37" t="s">
        <v>256</v>
      </c>
      <c r="X41" s="44" t="s">
        <v>142</v>
      </c>
      <c r="Y41" s="44">
        <v>13</v>
      </c>
      <c r="Z41" s="44" t="s">
        <v>257</v>
      </c>
      <c r="AA41" s="60">
        <v>0.90135028841111697</v>
      </c>
    </row>
    <row r="42" spans="1:31" ht="13.9">
      <c r="A42" s="45" t="s">
        <v>446</v>
      </c>
      <c r="B42" s="46" t="s">
        <v>141</v>
      </c>
      <c r="C42" s="46">
        <v>14</v>
      </c>
      <c r="D42" s="46" t="s">
        <v>447</v>
      </c>
      <c r="E42" s="61" t="s">
        <v>423</v>
      </c>
      <c r="F42" s="373"/>
      <c r="H42" s="5"/>
      <c r="J42" s="8"/>
      <c r="Q42" s="93" t="s">
        <v>274</v>
      </c>
      <c r="R42" s="94">
        <v>0.58034319753835939</v>
      </c>
      <c r="S42" s="93" t="s">
        <v>204</v>
      </c>
      <c r="W42" s="45" t="s">
        <v>227</v>
      </c>
      <c r="X42" s="46" t="s">
        <v>139</v>
      </c>
      <c r="Y42" s="46">
        <v>16</v>
      </c>
      <c r="Z42" s="46" t="s">
        <v>228</v>
      </c>
      <c r="AA42" s="61">
        <v>0.89410444897115693</v>
      </c>
    </row>
    <row r="43" spans="1:31" ht="13.9">
      <c r="A43" s="45" t="s">
        <v>283</v>
      </c>
      <c r="B43" s="46" t="s">
        <v>141</v>
      </c>
      <c r="C43" s="46">
        <v>14</v>
      </c>
      <c r="D43" s="46" t="s">
        <v>284</v>
      </c>
      <c r="E43" s="61">
        <f t="shared" ref="E43:E56" si="7">VLOOKUP($D43,$Q$7:$R$69,2,0)</f>
        <v>0.96099371344273887</v>
      </c>
      <c r="F43" s="373"/>
      <c r="Q43" s="93" t="s">
        <v>432</v>
      </c>
      <c r="R43" s="94">
        <v>0.99706741779950658</v>
      </c>
      <c r="S43" s="93" t="s">
        <v>203</v>
      </c>
      <c r="W43" s="45" t="s">
        <v>303</v>
      </c>
      <c r="X43" s="46" t="s">
        <v>177</v>
      </c>
      <c r="Y43" s="46">
        <v>10</v>
      </c>
      <c r="Z43" s="46" t="s">
        <v>304</v>
      </c>
      <c r="AA43" s="61">
        <v>0.89259170051200387</v>
      </c>
    </row>
    <row r="44" spans="1:31" ht="13.9">
      <c r="A44" s="45" t="s">
        <v>394</v>
      </c>
      <c r="B44" s="46" t="s">
        <v>141</v>
      </c>
      <c r="C44" s="46">
        <v>14</v>
      </c>
      <c r="D44" s="46" t="s">
        <v>236</v>
      </c>
      <c r="E44" s="61">
        <f t="shared" si="7"/>
        <v>0.9619710194413027</v>
      </c>
      <c r="F44" s="373"/>
      <c r="Q44" s="93" t="s">
        <v>236</v>
      </c>
      <c r="R44" s="94">
        <v>0.9619710194413027</v>
      </c>
      <c r="S44" s="93" t="s">
        <v>203</v>
      </c>
      <c r="W44" s="37" t="s">
        <v>462</v>
      </c>
      <c r="X44" s="44" t="s">
        <v>166</v>
      </c>
      <c r="Y44" s="44">
        <v>17</v>
      </c>
      <c r="Z44" s="44" t="s">
        <v>453</v>
      </c>
      <c r="AA44" s="60">
        <v>0.87497195036407094</v>
      </c>
    </row>
    <row r="45" spans="1:31" ht="13.9">
      <c r="A45" s="45" t="s">
        <v>297</v>
      </c>
      <c r="B45" s="46" t="s">
        <v>141</v>
      </c>
      <c r="C45" s="46">
        <v>14</v>
      </c>
      <c r="D45" s="46" t="s">
        <v>298</v>
      </c>
      <c r="E45" s="61">
        <f t="shared" si="7"/>
        <v>0.99458022018280356</v>
      </c>
      <c r="F45" s="373"/>
      <c r="Q45" s="93" t="s">
        <v>412</v>
      </c>
      <c r="R45" s="94">
        <v>0.99872589064335693</v>
      </c>
      <c r="S45" s="93" t="s">
        <v>203</v>
      </c>
      <c r="W45" s="37" t="s">
        <v>427</v>
      </c>
      <c r="X45" s="44" t="s">
        <v>140</v>
      </c>
      <c r="Y45" s="44">
        <v>15</v>
      </c>
      <c r="Z45" s="44" t="s">
        <v>428</v>
      </c>
      <c r="AA45" s="60">
        <v>0.85164553720066594</v>
      </c>
    </row>
    <row r="46" spans="1:31" ht="13.9">
      <c r="A46" s="45" t="s">
        <v>285</v>
      </c>
      <c r="B46" s="46" t="s">
        <v>141</v>
      </c>
      <c r="C46" s="46">
        <v>14</v>
      </c>
      <c r="D46" s="46" t="s">
        <v>286</v>
      </c>
      <c r="E46" s="61">
        <f t="shared" si="7"/>
        <v>1</v>
      </c>
      <c r="F46" s="373"/>
      <c r="G46" s="122"/>
      <c r="J46" s="122"/>
      <c r="Q46" s="93" t="s">
        <v>298</v>
      </c>
      <c r="R46" s="94">
        <v>0.99458022018280356</v>
      </c>
      <c r="S46" s="93" t="s">
        <v>203</v>
      </c>
      <c r="W46" s="37" t="s">
        <v>247</v>
      </c>
      <c r="X46" s="44" t="s">
        <v>140</v>
      </c>
      <c r="Y46" s="44">
        <v>15</v>
      </c>
      <c r="Z46" s="44" t="s">
        <v>248</v>
      </c>
      <c r="AA46" s="60">
        <v>0.84932154135723226</v>
      </c>
    </row>
    <row r="47" spans="1:31" ht="13.9">
      <c r="A47" s="45" t="s">
        <v>289</v>
      </c>
      <c r="B47" s="46" t="s">
        <v>141</v>
      </c>
      <c r="C47" s="46">
        <v>14</v>
      </c>
      <c r="D47" s="46" t="s">
        <v>290</v>
      </c>
      <c r="E47" s="61">
        <f t="shared" si="7"/>
        <v>0.57546119039331711</v>
      </c>
      <c r="F47" s="373"/>
      <c r="G47" s="122"/>
      <c r="I47" s="122"/>
      <c r="J47" s="122"/>
      <c r="Q47" s="93" t="s">
        <v>278</v>
      </c>
      <c r="R47" s="94">
        <v>0.75386351438754873</v>
      </c>
      <c r="S47" s="93" t="s">
        <v>204</v>
      </c>
      <c r="W47" s="37" t="s">
        <v>219</v>
      </c>
      <c r="X47" s="44" t="s">
        <v>140</v>
      </c>
      <c r="Y47" s="44">
        <v>15</v>
      </c>
      <c r="Z47" s="44" t="s">
        <v>220</v>
      </c>
      <c r="AA47" s="60">
        <v>0.84890438247011957</v>
      </c>
    </row>
    <row r="48" spans="1:31" ht="13.9">
      <c r="A48" s="45" t="s">
        <v>369</v>
      </c>
      <c r="B48" s="46" t="s">
        <v>141</v>
      </c>
      <c r="C48" s="46">
        <v>14</v>
      </c>
      <c r="D48" s="46" t="s">
        <v>375</v>
      </c>
      <c r="E48" s="61">
        <f t="shared" si="7"/>
        <v>0.90975829351063098</v>
      </c>
      <c r="F48" s="373"/>
      <c r="G48" s="122"/>
      <c r="I48" s="122"/>
      <c r="J48" s="122"/>
      <c r="Q48" s="93" t="s">
        <v>300</v>
      </c>
      <c r="R48" s="94">
        <v>0.63819230650865855</v>
      </c>
      <c r="S48" s="93" t="s">
        <v>204</v>
      </c>
      <c r="W48" s="37" t="s">
        <v>225</v>
      </c>
      <c r="X48" s="44" t="s">
        <v>142</v>
      </c>
      <c r="Y48" s="44">
        <v>13</v>
      </c>
      <c r="Z48" s="44" t="s">
        <v>226</v>
      </c>
      <c r="AA48" s="60">
        <v>0.82576712904581762</v>
      </c>
    </row>
    <row r="49" spans="1:27" ht="13.9">
      <c r="A49" s="45" t="s">
        <v>389</v>
      </c>
      <c r="B49" s="46" t="s">
        <v>141</v>
      </c>
      <c r="C49" s="46">
        <v>14</v>
      </c>
      <c r="D49" s="46" t="s">
        <v>390</v>
      </c>
      <c r="E49" s="61">
        <f t="shared" si="7"/>
        <v>0.9915841495030967</v>
      </c>
      <c r="F49" s="373"/>
      <c r="G49" s="122"/>
      <c r="I49" s="122"/>
      <c r="J49" s="122"/>
      <c r="Q49" s="93" t="s">
        <v>302</v>
      </c>
      <c r="R49" s="94">
        <v>0.99967400162999187</v>
      </c>
      <c r="S49" s="93" t="s">
        <v>203</v>
      </c>
      <c r="W49" s="37" t="s">
        <v>261</v>
      </c>
      <c r="X49" s="44" t="s">
        <v>140</v>
      </c>
      <c r="Y49" s="44">
        <v>15</v>
      </c>
      <c r="Z49" s="44" t="s">
        <v>262</v>
      </c>
      <c r="AA49" s="69">
        <v>0.81467245298615421</v>
      </c>
    </row>
    <row r="50" spans="1:27" ht="13.9">
      <c r="A50" s="45" t="s">
        <v>354</v>
      </c>
      <c r="B50" s="46" t="s">
        <v>141</v>
      </c>
      <c r="C50" s="46">
        <v>14</v>
      </c>
      <c r="D50" s="46" t="s">
        <v>355</v>
      </c>
      <c r="E50" s="61">
        <f t="shared" si="7"/>
        <v>1</v>
      </c>
      <c r="F50" s="373"/>
      <c r="G50" s="122"/>
      <c r="I50" s="122"/>
      <c r="J50" s="122"/>
      <c r="Q50" s="93" t="s">
        <v>290</v>
      </c>
      <c r="R50" s="94">
        <v>0.57546119039331711</v>
      </c>
      <c r="S50" s="93" t="s">
        <v>204</v>
      </c>
      <c r="W50" s="45" t="s">
        <v>267</v>
      </c>
      <c r="X50" s="46" t="s">
        <v>141</v>
      </c>
      <c r="Y50" s="46">
        <v>14</v>
      </c>
      <c r="Z50" s="46" t="s">
        <v>268</v>
      </c>
      <c r="AA50" s="61">
        <v>0.79472908539599674</v>
      </c>
    </row>
    <row r="51" spans="1:27" ht="13.9">
      <c r="A51" s="37" t="s">
        <v>465</v>
      </c>
      <c r="B51" s="44" t="s">
        <v>142</v>
      </c>
      <c r="C51" s="44">
        <v>13</v>
      </c>
      <c r="D51" s="44" t="s">
        <v>448</v>
      </c>
      <c r="E51" s="60">
        <f t="shared" si="7"/>
        <v>0.62875460562079877</v>
      </c>
      <c r="F51" s="373"/>
      <c r="I51" s="122"/>
      <c r="J51" s="122"/>
      <c r="Q51" s="93" t="s">
        <v>428</v>
      </c>
      <c r="R51" s="94">
        <v>0.85164553720066594</v>
      </c>
      <c r="S51" s="93" t="s">
        <v>203</v>
      </c>
      <c r="W51" s="37" t="s">
        <v>265</v>
      </c>
      <c r="X51" s="44" t="s">
        <v>142</v>
      </c>
      <c r="Y51" s="44">
        <v>13</v>
      </c>
      <c r="Z51" s="44" t="s">
        <v>266</v>
      </c>
      <c r="AA51" s="60">
        <v>0.78356336260978665</v>
      </c>
    </row>
    <row r="52" spans="1:27" ht="13.9">
      <c r="A52" s="37" t="s">
        <v>225</v>
      </c>
      <c r="B52" s="44" t="s">
        <v>142</v>
      </c>
      <c r="C52" s="44">
        <v>13</v>
      </c>
      <c r="D52" s="44" t="s">
        <v>226</v>
      </c>
      <c r="E52" s="60">
        <f t="shared" si="7"/>
        <v>0.82576712904581762</v>
      </c>
      <c r="F52" s="373"/>
      <c r="Q52" s="93" t="s">
        <v>304</v>
      </c>
      <c r="R52" s="94">
        <v>0.89259170051200387</v>
      </c>
      <c r="S52" s="93" t="s">
        <v>203</v>
      </c>
      <c r="W52" s="37" t="s">
        <v>464</v>
      </c>
      <c r="X52" s="44" t="s">
        <v>162</v>
      </c>
      <c r="Y52" s="44">
        <v>19</v>
      </c>
      <c r="Z52" s="44" t="s">
        <v>461</v>
      </c>
      <c r="AA52" s="60">
        <v>0.77794419936265724</v>
      </c>
    </row>
    <row r="53" spans="1:27" ht="13.9">
      <c r="A53" s="37" t="s">
        <v>238</v>
      </c>
      <c r="B53" s="44" t="s">
        <v>142</v>
      </c>
      <c r="C53" s="44">
        <v>13</v>
      </c>
      <c r="D53" s="44" t="s">
        <v>239</v>
      </c>
      <c r="E53" s="60">
        <f t="shared" si="7"/>
        <v>0.9427287640364086</v>
      </c>
      <c r="F53" s="373"/>
      <c r="Q53" s="93" t="s">
        <v>282</v>
      </c>
      <c r="R53" s="94">
        <v>0.97501693766937669</v>
      </c>
      <c r="S53" s="93" t="s">
        <v>203</v>
      </c>
      <c r="W53" s="37" t="s">
        <v>347</v>
      </c>
      <c r="X53" s="44" t="s">
        <v>140</v>
      </c>
      <c r="Y53" s="44">
        <v>15</v>
      </c>
      <c r="Z53" s="44" t="s">
        <v>348</v>
      </c>
      <c r="AA53" s="60">
        <v>0.77327600463039525</v>
      </c>
    </row>
    <row r="54" spans="1:27" ht="13.9">
      <c r="A54" s="37" t="s">
        <v>245</v>
      </c>
      <c r="B54" s="44" t="s">
        <v>142</v>
      </c>
      <c r="C54" s="44">
        <v>13</v>
      </c>
      <c r="D54" s="44" t="s">
        <v>246</v>
      </c>
      <c r="E54" s="60">
        <f t="shared" si="7"/>
        <v>0.70643925978729205</v>
      </c>
      <c r="F54" s="373"/>
      <c r="Q54" s="93" t="s">
        <v>383</v>
      </c>
      <c r="R54" s="94">
        <v>0.64890043729006908</v>
      </c>
      <c r="S54" s="93" t="s">
        <v>204</v>
      </c>
      <c r="W54" s="37" t="s">
        <v>277</v>
      </c>
      <c r="X54" s="44" t="s">
        <v>140</v>
      </c>
      <c r="Y54" s="44">
        <v>15</v>
      </c>
      <c r="Z54" s="44" t="s">
        <v>278</v>
      </c>
      <c r="AA54" s="60">
        <v>0.75386351438754873</v>
      </c>
    </row>
    <row r="55" spans="1:27" ht="13.9">
      <c r="A55" s="37" t="s">
        <v>256</v>
      </c>
      <c r="B55" s="44" t="s">
        <v>142</v>
      </c>
      <c r="C55" s="44">
        <v>13</v>
      </c>
      <c r="D55" s="44" t="s">
        <v>257</v>
      </c>
      <c r="E55" s="60">
        <f t="shared" si="7"/>
        <v>0.90135028841111697</v>
      </c>
      <c r="F55" s="373"/>
      <c r="Q55" s="93" t="s">
        <v>286</v>
      </c>
      <c r="R55" s="94">
        <v>1</v>
      </c>
      <c r="S55" s="93" t="s">
        <v>203</v>
      </c>
      <c r="W55" s="45" t="s">
        <v>263</v>
      </c>
      <c r="X55" s="46" t="s">
        <v>139</v>
      </c>
      <c r="Y55" s="46">
        <v>16</v>
      </c>
      <c r="Z55" s="46" t="s">
        <v>264</v>
      </c>
      <c r="AA55" s="61">
        <v>0.7497019635343618</v>
      </c>
    </row>
    <row r="56" spans="1:27" ht="13.9">
      <c r="A56" s="37" t="s">
        <v>463</v>
      </c>
      <c r="B56" s="44" t="s">
        <v>142</v>
      </c>
      <c r="C56" s="44">
        <v>13</v>
      </c>
      <c r="D56" s="44" t="s">
        <v>452</v>
      </c>
      <c r="E56" s="69">
        <f t="shared" si="7"/>
        <v>0.27216238256230779</v>
      </c>
      <c r="F56" s="373"/>
      <c r="Q56" s="93" t="s">
        <v>244</v>
      </c>
      <c r="R56" s="94">
        <v>0.42404692082111439</v>
      </c>
      <c r="S56" s="93" t="s">
        <v>194</v>
      </c>
      <c r="W56" s="37" t="s">
        <v>408</v>
      </c>
      <c r="X56" s="44" t="s">
        <v>140</v>
      </c>
      <c r="Y56" s="44">
        <v>15</v>
      </c>
      <c r="Z56" s="44" t="s">
        <v>451</v>
      </c>
      <c r="AA56" s="60">
        <v>0.7469877361024081</v>
      </c>
    </row>
    <row r="57" spans="1:27" ht="13.9">
      <c r="A57" s="37" t="s">
        <v>449</v>
      </c>
      <c r="B57" s="44" t="s">
        <v>142</v>
      </c>
      <c r="C57" s="44">
        <v>13</v>
      </c>
      <c r="D57" s="44" t="s">
        <v>450</v>
      </c>
      <c r="E57" s="60" t="s">
        <v>423</v>
      </c>
      <c r="F57" s="373"/>
      <c r="Q57" s="93" t="s">
        <v>456</v>
      </c>
      <c r="R57" s="94">
        <v>0.99417211067658851</v>
      </c>
      <c r="S57" s="93" t="s">
        <v>203</v>
      </c>
      <c r="W57" s="45" t="s">
        <v>249</v>
      </c>
      <c r="X57" s="46" t="s">
        <v>141</v>
      </c>
      <c r="Y57" s="46">
        <v>14</v>
      </c>
      <c r="Z57" s="46" t="s">
        <v>250</v>
      </c>
      <c r="AA57" s="61">
        <v>0.72270267536539723</v>
      </c>
    </row>
    <row r="58" spans="1:27" ht="13.9">
      <c r="A58" s="37" t="s">
        <v>265</v>
      </c>
      <c r="B58" s="44" t="s">
        <v>142</v>
      </c>
      <c r="C58" s="44">
        <v>13</v>
      </c>
      <c r="D58" s="44" t="s">
        <v>266</v>
      </c>
      <c r="E58" s="60">
        <f t="shared" ref="E58:E74" si="8">VLOOKUP($D58,$Q$7:$R$69,2,0)</f>
        <v>0.78356336260978665</v>
      </c>
      <c r="F58" s="373"/>
      <c r="Q58" s="93" t="s">
        <v>348</v>
      </c>
      <c r="R58" s="94">
        <v>0.77327600463039525</v>
      </c>
      <c r="S58" s="93" t="s">
        <v>204</v>
      </c>
      <c r="W58" s="37" t="s">
        <v>245</v>
      </c>
      <c r="X58" s="44" t="s">
        <v>142</v>
      </c>
      <c r="Y58" s="44">
        <v>13</v>
      </c>
      <c r="Z58" s="44" t="s">
        <v>246</v>
      </c>
      <c r="AA58" s="60">
        <v>0.70643925978729205</v>
      </c>
    </row>
    <row r="59" spans="1:27" ht="13.9">
      <c r="A59" s="37" t="s">
        <v>367</v>
      </c>
      <c r="B59" s="44" t="s">
        <v>142</v>
      </c>
      <c r="C59" s="44">
        <v>13</v>
      </c>
      <c r="D59" s="44" t="s">
        <v>368</v>
      </c>
      <c r="E59" s="60">
        <f t="shared" si="8"/>
        <v>1.0293089747728885</v>
      </c>
      <c r="F59" s="373"/>
      <c r="Q59" s="93" t="s">
        <v>294</v>
      </c>
      <c r="R59" s="94">
        <v>0.93000422702993502</v>
      </c>
      <c r="S59" s="93" t="s">
        <v>203</v>
      </c>
      <c r="W59" s="37" t="s">
        <v>275</v>
      </c>
      <c r="X59" s="44" t="s">
        <v>142</v>
      </c>
      <c r="Y59" s="44">
        <v>13</v>
      </c>
      <c r="Z59" s="44" t="s">
        <v>276</v>
      </c>
      <c r="AA59" s="60">
        <v>0.66983442164179108</v>
      </c>
    </row>
    <row r="60" spans="1:27" ht="13.9">
      <c r="A60" s="37" t="s">
        <v>275</v>
      </c>
      <c r="B60" s="44" t="s">
        <v>142</v>
      </c>
      <c r="C60" s="44">
        <v>13</v>
      </c>
      <c r="D60" s="44" t="s">
        <v>276</v>
      </c>
      <c r="E60" s="60">
        <f t="shared" si="8"/>
        <v>0.66983442164179108</v>
      </c>
      <c r="F60" s="373"/>
      <c r="Q60" s="93" t="s">
        <v>292</v>
      </c>
      <c r="R60" s="94">
        <v>0.614337822671156</v>
      </c>
      <c r="S60" s="93" t="s">
        <v>204</v>
      </c>
      <c r="W60" s="37" t="s">
        <v>395</v>
      </c>
      <c r="X60" s="44" t="s">
        <v>140</v>
      </c>
      <c r="Y60" s="44">
        <v>15</v>
      </c>
      <c r="Z60" s="44" t="s">
        <v>396</v>
      </c>
      <c r="AA60" s="60">
        <v>0.66731657086909912</v>
      </c>
    </row>
    <row r="61" spans="1:27" ht="13.9">
      <c r="A61" s="37" t="s">
        <v>279</v>
      </c>
      <c r="B61" s="44" t="s">
        <v>142</v>
      </c>
      <c r="C61" s="44">
        <v>13</v>
      </c>
      <c r="D61" s="44" t="s">
        <v>280</v>
      </c>
      <c r="E61" s="69">
        <f>VLOOKUP($D61,$Q$7:$R$69,2,0)</f>
        <v>0.44575810739314115</v>
      </c>
      <c r="F61" s="373"/>
      <c r="Q61" s="93" t="s">
        <v>375</v>
      </c>
      <c r="R61" s="94">
        <v>0.90975829351063098</v>
      </c>
      <c r="S61" s="93" t="s">
        <v>203</v>
      </c>
      <c r="W61" s="37" t="s">
        <v>382</v>
      </c>
      <c r="X61" s="44" t="s">
        <v>140</v>
      </c>
      <c r="Y61" s="44">
        <v>15</v>
      </c>
      <c r="Z61" s="44" t="s">
        <v>383</v>
      </c>
      <c r="AA61" s="69">
        <v>0.64890043729006908</v>
      </c>
    </row>
    <row r="62" spans="1:27" ht="13.9">
      <c r="A62" s="37" t="s">
        <v>287</v>
      </c>
      <c r="B62" s="44" t="s">
        <v>142</v>
      </c>
      <c r="C62" s="44">
        <v>13</v>
      </c>
      <c r="D62" s="44" t="s">
        <v>441</v>
      </c>
      <c r="E62" s="60">
        <f t="shared" si="8"/>
        <v>1</v>
      </c>
      <c r="F62" s="373"/>
      <c r="Q62" s="93" t="s">
        <v>396</v>
      </c>
      <c r="R62" s="94">
        <v>0.66731657086909912</v>
      </c>
      <c r="S62" s="93" t="s">
        <v>204</v>
      </c>
      <c r="W62" s="37" t="s">
        <v>299</v>
      </c>
      <c r="X62" s="44" t="s">
        <v>142</v>
      </c>
      <c r="Y62" s="44">
        <v>13</v>
      </c>
      <c r="Z62" s="44" t="s">
        <v>300</v>
      </c>
      <c r="AA62" s="60">
        <v>0.63819230650865855</v>
      </c>
    </row>
    <row r="63" spans="1:27" ht="13.9">
      <c r="A63" s="37" t="s">
        <v>273</v>
      </c>
      <c r="B63" s="44" t="s">
        <v>142</v>
      </c>
      <c r="C63" s="44">
        <v>13</v>
      </c>
      <c r="D63" s="44" t="s">
        <v>274</v>
      </c>
      <c r="E63" s="60">
        <f t="shared" si="8"/>
        <v>0.58034319753835939</v>
      </c>
      <c r="F63" s="373"/>
      <c r="Q63" s="93" t="s">
        <v>390</v>
      </c>
      <c r="R63" s="94">
        <v>0.9915841495030967</v>
      </c>
      <c r="S63" s="93" t="s">
        <v>203</v>
      </c>
      <c r="W63" s="37" t="s">
        <v>465</v>
      </c>
      <c r="X63" s="44" t="s">
        <v>142</v>
      </c>
      <c r="Y63" s="44">
        <v>13</v>
      </c>
      <c r="Z63" s="44" t="s">
        <v>448</v>
      </c>
      <c r="AA63" s="60">
        <v>0.62875460562079877</v>
      </c>
    </row>
    <row r="64" spans="1:27" ht="13.9">
      <c r="A64" s="37" t="s">
        <v>299</v>
      </c>
      <c r="B64" s="44" t="s">
        <v>142</v>
      </c>
      <c r="C64" s="44">
        <v>13</v>
      </c>
      <c r="D64" s="44" t="s">
        <v>300</v>
      </c>
      <c r="E64" s="60">
        <f t="shared" si="8"/>
        <v>0.63819230650865855</v>
      </c>
      <c r="F64" s="373"/>
      <c r="Q64" s="93" t="s">
        <v>459</v>
      </c>
      <c r="R64" s="94">
        <v>0.97028603165787286</v>
      </c>
      <c r="S64" s="93" t="s">
        <v>203</v>
      </c>
      <c r="W64" s="37" t="s">
        <v>291</v>
      </c>
      <c r="X64" s="44" t="s">
        <v>140</v>
      </c>
      <c r="Y64" s="44">
        <v>15</v>
      </c>
      <c r="Z64" s="44" t="s">
        <v>292</v>
      </c>
      <c r="AA64" s="60">
        <v>0.614337822671156</v>
      </c>
    </row>
    <row r="65" spans="1:27" ht="13.9">
      <c r="A65" s="37" t="s">
        <v>281</v>
      </c>
      <c r="B65" s="44" t="s">
        <v>142</v>
      </c>
      <c r="C65" s="44">
        <v>13</v>
      </c>
      <c r="D65" s="44" t="s">
        <v>282</v>
      </c>
      <c r="E65" s="60">
        <f t="shared" si="8"/>
        <v>0.97501693766937669</v>
      </c>
      <c r="F65" s="373"/>
      <c r="Q65" s="93" t="s">
        <v>296</v>
      </c>
      <c r="R65" s="94">
        <v>0.98634859349145065</v>
      </c>
      <c r="S65" s="93" t="s">
        <v>203</v>
      </c>
      <c r="W65" s="45" t="s">
        <v>269</v>
      </c>
      <c r="X65" s="46" t="s">
        <v>141</v>
      </c>
      <c r="Y65" s="46">
        <v>14</v>
      </c>
      <c r="Z65" s="46" t="s">
        <v>270</v>
      </c>
      <c r="AA65" s="61">
        <v>0.60422936152907691</v>
      </c>
    </row>
    <row r="66" spans="1:27" ht="13.9">
      <c r="A66" s="45" t="s">
        <v>305</v>
      </c>
      <c r="B66" s="46" t="s">
        <v>173</v>
      </c>
      <c r="C66" s="46">
        <v>12</v>
      </c>
      <c r="D66" s="46" t="s">
        <v>456</v>
      </c>
      <c r="E66" s="61">
        <f t="shared" si="8"/>
        <v>0.99417211067658851</v>
      </c>
      <c r="F66" s="373"/>
      <c r="Q66" s="93" t="s">
        <v>346</v>
      </c>
      <c r="R66" s="94">
        <v>0.96644084643352246</v>
      </c>
      <c r="S66" s="93" t="s">
        <v>203</v>
      </c>
      <c r="W66" s="45" t="s">
        <v>361</v>
      </c>
      <c r="X66" s="46" t="s">
        <v>139</v>
      </c>
      <c r="Y66" s="46">
        <v>16</v>
      </c>
      <c r="Z66" s="46" t="s">
        <v>194</v>
      </c>
      <c r="AA66" s="61">
        <v>0.58142655748172922</v>
      </c>
    </row>
    <row r="67" spans="1:27" ht="13.9">
      <c r="A67" s="37" t="s">
        <v>411</v>
      </c>
      <c r="B67" s="44" t="s">
        <v>175</v>
      </c>
      <c r="C67" s="44">
        <v>11</v>
      </c>
      <c r="D67" s="44" t="s">
        <v>412</v>
      </c>
      <c r="E67" s="60">
        <f t="shared" si="8"/>
        <v>0.99872589064335693</v>
      </c>
      <c r="F67" s="373"/>
      <c r="Q67" s="93" t="s">
        <v>248</v>
      </c>
      <c r="R67" s="94">
        <v>0.84932154135723226</v>
      </c>
      <c r="S67" s="93" t="s">
        <v>203</v>
      </c>
      <c r="W67" s="37" t="s">
        <v>273</v>
      </c>
      <c r="X67" s="44" t="s">
        <v>142</v>
      </c>
      <c r="Y67" s="44">
        <v>13</v>
      </c>
      <c r="Z67" s="44" t="s">
        <v>274</v>
      </c>
      <c r="AA67" s="60">
        <v>0.58034319753835939</v>
      </c>
    </row>
    <row r="68" spans="1:27" ht="13.9">
      <c r="A68" s="45" t="s">
        <v>303</v>
      </c>
      <c r="B68" s="46" t="s">
        <v>177</v>
      </c>
      <c r="C68" s="46">
        <v>10</v>
      </c>
      <c r="D68" s="46" t="s">
        <v>304</v>
      </c>
      <c r="E68" s="61">
        <f t="shared" si="8"/>
        <v>0.89259170051200387</v>
      </c>
      <c r="F68" s="373"/>
      <c r="G68" s="122"/>
      <c r="Q68" s="93" t="s">
        <v>355</v>
      </c>
      <c r="R68" s="94">
        <v>1</v>
      </c>
      <c r="S68" s="93" t="s">
        <v>203</v>
      </c>
      <c r="W68" s="45" t="s">
        <v>289</v>
      </c>
      <c r="X68" s="46" t="s">
        <v>141</v>
      </c>
      <c r="Y68" s="46">
        <v>14</v>
      </c>
      <c r="Z68" s="46" t="s">
        <v>290</v>
      </c>
      <c r="AA68" s="61">
        <v>0.57546119039331711</v>
      </c>
    </row>
    <row r="69" spans="1:27" ht="14.45" thickBot="1">
      <c r="A69" s="98" t="s">
        <v>371</v>
      </c>
      <c r="B69" s="99" t="s">
        <v>185</v>
      </c>
      <c r="C69" s="99">
        <v>6</v>
      </c>
      <c r="D69" s="99" t="s">
        <v>457</v>
      </c>
      <c r="E69" s="100">
        <f t="shared" si="8"/>
        <v>0.27230062686467099</v>
      </c>
      <c r="F69" s="373"/>
      <c r="Q69" s="93" t="s">
        <v>252</v>
      </c>
      <c r="R69" s="94">
        <v>0.94699999999999995</v>
      </c>
      <c r="S69" s="93" t="s">
        <v>203</v>
      </c>
      <c r="W69" s="105" t="s">
        <v>240</v>
      </c>
      <c r="X69" s="107" t="s">
        <v>139</v>
      </c>
      <c r="Y69" s="107">
        <v>16</v>
      </c>
      <c r="Z69" s="107" t="s">
        <v>241</v>
      </c>
      <c r="AA69" s="109">
        <v>0.55330389203021169</v>
      </c>
    </row>
    <row r="70" spans="1:27" ht="13.9">
      <c r="A70" s="37" t="s">
        <v>464</v>
      </c>
      <c r="B70" s="44" t="s">
        <v>162</v>
      </c>
      <c r="C70" s="44">
        <v>19</v>
      </c>
      <c r="D70" s="44" t="s">
        <v>461</v>
      </c>
      <c r="E70" s="60">
        <f t="shared" si="8"/>
        <v>0.77794419936265724</v>
      </c>
      <c r="F70" s="373"/>
      <c r="G70" s="122"/>
      <c r="Q70" s="49"/>
      <c r="R70" s="58"/>
      <c r="S70" s="49"/>
      <c r="W70" s="37" t="s">
        <v>279</v>
      </c>
      <c r="X70" s="44" t="s">
        <v>142</v>
      </c>
      <c r="Y70" s="44">
        <v>13</v>
      </c>
      <c r="Z70" s="44" t="s">
        <v>280</v>
      </c>
      <c r="AA70" s="69">
        <v>0.44575810739314115</v>
      </c>
    </row>
    <row r="71" spans="1:27" ht="13.9">
      <c r="A71" s="37" t="s">
        <v>462</v>
      </c>
      <c r="B71" s="44" t="s">
        <v>166</v>
      </c>
      <c r="C71" s="44">
        <v>17</v>
      </c>
      <c r="D71" s="44" t="s">
        <v>453</v>
      </c>
      <c r="E71" s="60">
        <f t="shared" si="8"/>
        <v>0.87497195036407094</v>
      </c>
      <c r="F71" s="373"/>
      <c r="Q71" s="49"/>
      <c r="R71" s="58"/>
      <c r="S71" s="49"/>
      <c r="W71" s="37" t="s">
        <v>243</v>
      </c>
      <c r="X71" s="44" t="s">
        <v>140</v>
      </c>
      <c r="Y71" s="44">
        <v>15</v>
      </c>
      <c r="Z71" s="44" t="s">
        <v>244</v>
      </c>
      <c r="AA71" s="69">
        <v>0.42404692082111439</v>
      </c>
    </row>
    <row r="72" spans="1:27" ht="13.9">
      <c r="A72" s="37" t="s">
        <v>458</v>
      </c>
      <c r="B72" s="44" t="s">
        <v>173</v>
      </c>
      <c r="C72" s="44">
        <v>12</v>
      </c>
      <c r="D72" s="44" t="s">
        <v>459</v>
      </c>
      <c r="E72" s="69">
        <f t="shared" si="8"/>
        <v>0.97028603165787286</v>
      </c>
      <c r="F72" s="373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0">
        <v>0.36017814864816144</v>
      </c>
    </row>
    <row r="73" spans="1:27" ht="13.9">
      <c r="A73" s="37" t="s">
        <v>424</v>
      </c>
      <c r="B73" s="47" t="s">
        <v>423</v>
      </c>
      <c r="C73" s="47"/>
      <c r="D73" s="44" t="s">
        <v>425</v>
      </c>
      <c r="E73" s="69">
        <f t="shared" si="8"/>
        <v>0.99675869094774683</v>
      </c>
      <c r="F73" s="5"/>
      <c r="Q73" s="49"/>
      <c r="R73" s="58"/>
      <c r="S73" s="49"/>
      <c r="W73" s="106" t="s">
        <v>371</v>
      </c>
      <c r="X73" s="108" t="s">
        <v>185</v>
      </c>
      <c r="Y73" s="108">
        <v>6</v>
      </c>
      <c r="Z73" s="108" t="s">
        <v>457</v>
      </c>
      <c r="AA73" s="110">
        <v>0.27230062686467099</v>
      </c>
    </row>
    <row r="74" spans="1:27" ht="14.45" thickBot="1">
      <c r="A74" s="53" t="s">
        <v>295</v>
      </c>
      <c r="B74" s="54" t="s">
        <v>423</v>
      </c>
      <c r="C74" s="54"/>
      <c r="D74" s="54" t="s">
        <v>296</v>
      </c>
      <c r="E74" s="63">
        <f t="shared" si="8"/>
        <v>0.98634859349145065</v>
      </c>
      <c r="F74" s="5"/>
      <c r="Q74" s="49"/>
      <c r="R74" s="58"/>
      <c r="S74" s="49"/>
      <c r="W74" s="53" t="s">
        <v>463</v>
      </c>
      <c r="X74" s="57" t="s">
        <v>142</v>
      </c>
      <c r="Y74" s="57">
        <v>13</v>
      </c>
      <c r="Z74" s="57" t="s">
        <v>452</v>
      </c>
      <c r="AA74" s="111">
        <v>0.27216238256230779</v>
      </c>
    </row>
    <row r="75" spans="1:27" ht="13.9">
      <c r="A75" s="41" t="s">
        <v>311</v>
      </c>
      <c r="B75" s="43" t="s">
        <v>141</v>
      </c>
      <c r="C75" s="42">
        <f>AVERAGE(C7:C69)</f>
        <v>14.174603174603174</v>
      </c>
      <c r="D75" s="42"/>
      <c r="E75" s="42"/>
      <c r="F75" s="5"/>
      <c r="Q75" s="49"/>
      <c r="R75" s="58"/>
      <c r="S75" s="49"/>
    </row>
    <row r="76" spans="1:27" ht="13.9">
      <c r="A76" s="3"/>
      <c r="B76" s="3"/>
      <c r="F76" s="5"/>
      <c r="Q76" s="49"/>
      <c r="R76" s="59"/>
      <c r="S76" s="49"/>
    </row>
    <row r="77" spans="1:27">
      <c r="A77" s="3"/>
      <c r="B77" s="3"/>
      <c r="F77" s="9"/>
    </row>
    <row r="78" spans="1:27">
      <c r="A78" s="48" t="s">
        <v>312</v>
      </c>
      <c r="F78" s="9"/>
    </row>
    <row r="79" spans="1:27">
      <c r="A79" s="48" t="s">
        <v>313</v>
      </c>
      <c r="B79" s="86"/>
      <c r="C79" s="86"/>
      <c r="D79" s="86"/>
      <c r="E79" s="86"/>
      <c r="F79" s="9"/>
      <c r="G79" s="86"/>
      <c r="W79" s="86"/>
      <c r="X79" s="86"/>
      <c r="Y79" s="86"/>
      <c r="Z79" s="86"/>
      <c r="AA79" s="88"/>
    </row>
    <row r="80" spans="1:27" s="86" customFormat="1">
      <c r="A80" s="85" t="s">
        <v>419</v>
      </c>
      <c r="F80" s="87"/>
      <c r="AA80" s="88"/>
    </row>
    <row r="81" spans="1:27" s="86" customFormat="1">
      <c r="A81" s="85" t="s">
        <v>314</v>
      </c>
      <c r="F81" s="87"/>
      <c r="AA81" s="88"/>
    </row>
    <row r="82" spans="1:27" s="86" customFormat="1">
      <c r="A82" s="85" t="s">
        <v>466</v>
      </c>
      <c r="B82"/>
      <c r="C82"/>
      <c r="D82" s="9"/>
      <c r="E82"/>
      <c r="F82" s="87"/>
      <c r="G82"/>
      <c r="W82"/>
      <c r="X82"/>
      <c r="Y82"/>
      <c r="Z82"/>
      <c r="AA82"/>
    </row>
    <row r="83" spans="1:27">
      <c r="A83" s="48" t="s">
        <v>315</v>
      </c>
      <c r="D83" s="9"/>
      <c r="AA83"/>
    </row>
    <row r="84" spans="1:27">
      <c r="A84" s="48"/>
      <c r="D84" s="9"/>
      <c r="AA84"/>
    </row>
    <row r="85" spans="1:27">
      <c r="A85" s="48"/>
    </row>
    <row r="86" spans="1:27">
      <c r="A86" s="2"/>
      <c r="E86" s="74"/>
      <c r="F86" s="9"/>
    </row>
    <row r="87" spans="1:27">
      <c r="E87" s="74"/>
    </row>
    <row r="88" spans="1:27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2">
    <tabColor rgb="FF002060"/>
    <pageSetUpPr fitToPage="1"/>
  </sheetPr>
  <dimension ref="A1:AH89"/>
  <sheetViews>
    <sheetView zoomScale="85" zoomScaleNormal="85" workbookViewId="0"/>
  </sheetViews>
  <sheetFormatPr defaultColWidth="9.140625" defaultRowHeight="13.15" outlineLevelCol="1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">
      <c r="A1" s="40" t="s">
        <v>477</v>
      </c>
    </row>
    <row r="2" spans="1:33" ht="18">
      <c r="A2" s="40"/>
    </row>
    <row r="3" spans="1:33" ht="18">
      <c r="A3" s="40"/>
    </row>
    <row r="4" spans="1:33" ht="18">
      <c r="A4" s="40"/>
    </row>
    <row r="5" spans="1:33" ht="13.9">
      <c r="E5" s="65" t="s">
        <v>434</v>
      </c>
      <c r="AA5" s="65" t="s">
        <v>434</v>
      </c>
      <c r="AF5" s="82" t="s">
        <v>435</v>
      </c>
      <c r="AG5" s="81"/>
    </row>
    <row r="6" spans="1:33" ht="13.9">
      <c r="A6" s="38" t="s">
        <v>212</v>
      </c>
      <c r="B6" s="39" t="s">
        <v>478</v>
      </c>
      <c r="C6" s="14"/>
      <c r="D6" s="14"/>
      <c r="E6" s="64">
        <v>40178</v>
      </c>
      <c r="W6" s="38" t="s">
        <v>212</v>
      </c>
      <c r="X6" s="39" t="s">
        <v>478</v>
      </c>
      <c r="Y6" s="14"/>
      <c r="Z6" s="14"/>
      <c r="AA6" s="64">
        <v>40178</v>
      </c>
      <c r="AC6" s="67" t="s">
        <v>136</v>
      </c>
      <c r="AD6" s="68"/>
      <c r="AE6" s="68"/>
      <c r="AF6" s="42">
        <f>AVERAGE(Y$13:Y$47)</f>
        <v>14.2</v>
      </c>
      <c r="AG6" s="79"/>
    </row>
    <row r="7" spans="1:33" ht="14.45" thickBot="1">
      <c r="A7" s="37" t="s">
        <v>431</v>
      </c>
      <c r="B7" s="44" t="s">
        <v>164</v>
      </c>
      <c r="C7" s="44">
        <v>18</v>
      </c>
      <c r="D7" s="44" t="s">
        <v>432</v>
      </c>
      <c r="E7" s="60">
        <f>VLOOKUP($D7,$Q$7:$R$69,2,0)</f>
        <v>0.99706741779950658</v>
      </c>
      <c r="F7" s="373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0.82576712904581762</v>
      </c>
      <c r="S7" s="93" t="s">
        <v>203</v>
      </c>
      <c r="W7" s="37" t="s">
        <v>437</v>
      </c>
      <c r="X7" s="44" t="s">
        <v>139</v>
      </c>
      <c r="Y7" s="44">
        <v>16</v>
      </c>
      <c r="Z7" s="44" t="s">
        <v>438</v>
      </c>
      <c r="AA7" s="70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9">
      <c r="A8" s="37" t="s">
        <v>479</v>
      </c>
      <c r="B8" s="44" t="s">
        <v>166</v>
      </c>
      <c r="C8" s="44">
        <v>17</v>
      </c>
      <c r="D8" s="44" t="s">
        <v>241</v>
      </c>
      <c r="E8" s="60">
        <f>VLOOKUP($D8,$Q$7:$R$69,2,0)</f>
        <v>0.55330389203021169</v>
      </c>
      <c r="F8" s="373"/>
      <c r="G8" s="37" t="s">
        <v>137</v>
      </c>
      <c r="H8" s="49">
        <f>COUNTIF(C$7:C$75,"&gt;16")</f>
        <v>5</v>
      </c>
      <c r="I8" s="50">
        <f>H8/H$14</f>
        <v>7.575757575757576E-2</v>
      </c>
      <c r="K8" s="122"/>
      <c r="M8" s="122"/>
      <c r="N8" s="122"/>
      <c r="O8" s="122"/>
      <c r="Q8" s="93" t="s">
        <v>223</v>
      </c>
      <c r="R8" s="94">
        <v>0.97067096880946468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70" t="s">
        <v>423</v>
      </c>
      <c r="AC8" s="37" t="s">
        <v>137</v>
      </c>
      <c r="AD8" s="49">
        <f>COUNTIF(Y$13:Y$47,"&gt;16")</f>
        <v>3</v>
      </c>
      <c r="AE8" s="50">
        <f>AD8/AD$14</f>
        <v>8.5714285714285715E-2</v>
      </c>
      <c r="AG8" s="80"/>
    </row>
    <row r="9" spans="1:33" ht="13.9">
      <c r="A9" s="37" t="s">
        <v>293</v>
      </c>
      <c r="B9" s="44" t="s">
        <v>166</v>
      </c>
      <c r="C9" s="44">
        <v>17</v>
      </c>
      <c r="D9" s="44" t="s">
        <v>294</v>
      </c>
      <c r="E9" s="60">
        <f t="shared" ref="E9:E68" si="0">VLOOKUP($D9,$Q$7:$R$75,2,0)</f>
        <v>0.93000422702993502</v>
      </c>
      <c r="F9" s="373"/>
      <c r="G9" s="37" t="s">
        <v>139</v>
      </c>
      <c r="H9" s="49">
        <f>COUNTIF(C$7:C$75,"=16")</f>
        <v>8</v>
      </c>
      <c r="I9" s="50">
        <f t="shared" ref="I9:I14" si="1">H9/H$14</f>
        <v>0.12121212121212122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70" t="s">
        <v>423</v>
      </c>
      <c r="AC9" s="37" t="s">
        <v>139</v>
      </c>
      <c r="AD9" s="49">
        <f>COUNTIF(Y$13:Y$47,"=16")</f>
        <v>4</v>
      </c>
      <c r="AE9" s="50">
        <f t="shared" ref="AE9:AE14" si="2">AD9/AD$14</f>
        <v>0.11428571428571428</v>
      </c>
      <c r="AG9" s="80"/>
    </row>
    <row r="10" spans="1:33" ht="13.9">
      <c r="A10" s="45" t="s">
        <v>227</v>
      </c>
      <c r="B10" s="46" t="s">
        <v>139</v>
      </c>
      <c r="C10" s="46">
        <v>16</v>
      </c>
      <c r="D10" s="46" t="s">
        <v>228</v>
      </c>
      <c r="E10" s="61">
        <f t="shared" si="0"/>
        <v>0.89410444897115693</v>
      </c>
      <c r="F10" s="373"/>
      <c r="G10" s="37" t="s">
        <v>140</v>
      </c>
      <c r="H10" s="49">
        <f>COUNTIF(C$7:C$75,"=15")</f>
        <v>15</v>
      </c>
      <c r="I10" s="50">
        <f t="shared" si="1"/>
        <v>0.22727272727272727</v>
      </c>
      <c r="K10" s="122"/>
      <c r="M10" s="122"/>
      <c r="N10" s="122"/>
      <c r="O10" s="122"/>
      <c r="Q10" s="93" t="s">
        <v>218</v>
      </c>
      <c r="R10" s="94">
        <v>0.91262379340604238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70" t="s">
        <v>423</v>
      </c>
      <c r="AC10" s="37" t="s">
        <v>140</v>
      </c>
      <c r="AD10" s="49">
        <f>COUNTIF(Y$13:Y$47,"=15")</f>
        <v>7</v>
      </c>
      <c r="AE10" s="50">
        <f t="shared" si="2"/>
        <v>0.2</v>
      </c>
      <c r="AG10" s="80"/>
    </row>
    <row r="11" spans="1:33" ht="13.9">
      <c r="A11" s="45" t="s">
        <v>361</v>
      </c>
      <c r="B11" s="46" t="s">
        <v>139</v>
      </c>
      <c r="C11" s="46">
        <v>16</v>
      </c>
      <c r="D11" s="46" t="s">
        <v>194</v>
      </c>
      <c r="E11" s="61">
        <f t="shared" si="0"/>
        <v>0.58142655748172922</v>
      </c>
      <c r="F11" s="373"/>
      <c r="G11" s="37" t="s">
        <v>141</v>
      </c>
      <c r="H11" s="49">
        <f>COUNTIF(C$7:C$75,"=14")</f>
        <v>19</v>
      </c>
      <c r="I11" s="50">
        <f t="shared" si="1"/>
        <v>0.2878787878787879</v>
      </c>
      <c r="K11" s="122"/>
      <c r="M11" s="122"/>
      <c r="N11" s="122"/>
      <c r="O11" s="122"/>
      <c r="Q11" s="93" t="s">
        <v>239</v>
      </c>
      <c r="R11" s="94">
        <v>0.9427287640364086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70" t="s">
        <v>423</v>
      </c>
      <c r="AC11" s="37" t="s">
        <v>141</v>
      </c>
      <c r="AD11" s="49">
        <f>COUNTIF(Y$13:Y$47,"=14")</f>
        <v>10</v>
      </c>
      <c r="AE11" s="50">
        <f t="shared" si="2"/>
        <v>0.2857142857142857</v>
      </c>
      <c r="AG11" s="80"/>
    </row>
    <row r="12" spans="1:33" ht="13.9">
      <c r="A12" s="45" t="s">
        <v>259</v>
      </c>
      <c r="B12" s="46" t="s">
        <v>139</v>
      </c>
      <c r="C12" s="46">
        <v>16</v>
      </c>
      <c r="D12" s="46" t="s">
        <v>454</v>
      </c>
      <c r="E12" s="61">
        <f t="shared" si="0"/>
        <v>1</v>
      </c>
      <c r="F12" s="373"/>
      <c r="G12" s="37" t="s">
        <v>142</v>
      </c>
      <c r="H12" s="49">
        <f>COUNTIF(C$7:C$75,"=13")</f>
        <v>14</v>
      </c>
      <c r="I12" s="50">
        <f t="shared" si="1"/>
        <v>0.21212121212121213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70" t="s">
        <v>423</v>
      </c>
      <c r="AC12" s="37" t="s">
        <v>142</v>
      </c>
      <c r="AD12" s="49">
        <f>COUNTIF(Y$13:Y$47,"=13")</f>
        <v>7</v>
      </c>
      <c r="AE12" s="50">
        <f t="shared" si="2"/>
        <v>0.2</v>
      </c>
      <c r="AG12" s="80"/>
    </row>
    <row r="13" spans="1:33" ht="14.45" thickBot="1">
      <c r="A13" s="45" t="s">
        <v>263</v>
      </c>
      <c r="B13" s="46" t="s">
        <v>139</v>
      </c>
      <c r="C13" s="46">
        <v>16</v>
      </c>
      <c r="D13" s="46" t="s">
        <v>264</v>
      </c>
      <c r="E13" s="61">
        <f t="shared" si="0"/>
        <v>0.7497019635343618</v>
      </c>
      <c r="F13" s="373"/>
      <c r="G13" s="53" t="s">
        <v>143</v>
      </c>
      <c r="H13" s="55">
        <f>COUNTIF(C$7:C$75,"&lt;13")</f>
        <v>5</v>
      </c>
      <c r="I13" s="56">
        <f t="shared" si="1"/>
        <v>7.575757575757576E-2</v>
      </c>
      <c r="Q13" s="93" t="s">
        <v>246</v>
      </c>
      <c r="R13" s="94">
        <v>0.70643925978729205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70">
        <v>1.0333026830763428</v>
      </c>
      <c r="AC13" s="53" t="s">
        <v>143</v>
      </c>
      <c r="AD13" s="55">
        <f>COUNTIF(Y$13:Y$47,"&lt;13")</f>
        <v>4</v>
      </c>
      <c r="AE13" s="56">
        <f t="shared" si="2"/>
        <v>0.11428571428571428</v>
      </c>
      <c r="AG13" s="80"/>
    </row>
    <row r="14" spans="1:33" ht="13.9">
      <c r="A14" s="45" t="s">
        <v>460</v>
      </c>
      <c r="B14" s="46" t="s">
        <v>139</v>
      </c>
      <c r="C14" s="46">
        <v>16</v>
      </c>
      <c r="D14" s="46" t="s">
        <v>455</v>
      </c>
      <c r="E14" s="61">
        <f t="shared" si="0"/>
        <v>0.96341849943457658</v>
      </c>
      <c r="F14" s="373"/>
      <c r="G14" s="41" t="s">
        <v>144</v>
      </c>
      <c r="H14" s="51">
        <f>SUM(H8:H13)</f>
        <v>66</v>
      </c>
      <c r="I14" s="52">
        <f t="shared" si="1"/>
        <v>1</v>
      </c>
      <c r="Q14" s="93" t="s">
        <v>451</v>
      </c>
      <c r="R14" s="94">
        <v>0.7469877361024081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70">
        <v>1.0293089747728885</v>
      </c>
      <c r="AC14" s="41" t="s">
        <v>144</v>
      </c>
      <c r="AD14" s="51">
        <f>SUM(AD8:AD13)</f>
        <v>35</v>
      </c>
      <c r="AE14" s="52">
        <f t="shared" si="2"/>
        <v>1</v>
      </c>
      <c r="AG14" s="80"/>
    </row>
    <row r="15" spans="1:33" ht="13.9">
      <c r="A15" s="45" t="s">
        <v>437</v>
      </c>
      <c r="B15" s="46" t="s">
        <v>139</v>
      </c>
      <c r="C15" s="46">
        <v>16</v>
      </c>
      <c r="D15" s="46" t="s">
        <v>438</v>
      </c>
      <c r="E15" s="61" t="s">
        <v>423</v>
      </c>
      <c r="F15" s="373"/>
      <c r="K15" s="5"/>
      <c r="Q15" s="93" t="s">
        <v>452</v>
      </c>
      <c r="R15" s="94">
        <v>0.27216238256230779</v>
      </c>
      <c r="S15" s="93" t="s">
        <v>194</v>
      </c>
      <c r="W15" s="37" t="s">
        <v>259</v>
      </c>
      <c r="X15" s="44" t="s">
        <v>139</v>
      </c>
      <c r="Y15" s="44">
        <v>16</v>
      </c>
      <c r="Z15" s="44" t="s">
        <v>454</v>
      </c>
      <c r="AA15" s="70">
        <v>1</v>
      </c>
      <c r="AG15" s="80"/>
    </row>
    <row r="16" spans="1:33" ht="13.9">
      <c r="A16" s="45" t="s">
        <v>439</v>
      </c>
      <c r="B16" s="46" t="s">
        <v>139</v>
      </c>
      <c r="C16" s="46">
        <v>16</v>
      </c>
      <c r="D16" s="46" t="s">
        <v>440</v>
      </c>
      <c r="E16" s="61" t="s">
        <v>423</v>
      </c>
      <c r="F16" s="373"/>
      <c r="K16" s="5"/>
      <c r="Q16" s="93" t="s">
        <v>453</v>
      </c>
      <c r="R16" s="94">
        <v>0.87497195036407094</v>
      </c>
      <c r="S16" s="93" t="s">
        <v>203</v>
      </c>
      <c r="W16" s="37" t="s">
        <v>285</v>
      </c>
      <c r="X16" s="44" t="s">
        <v>140</v>
      </c>
      <c r="Y16" s="44">
        <v>15</v>
      </c>
      <c r="Z16" s="44" t="s">
        <v>286</v>
      </c>
      <c r="AA16" s="70">
        <v>1</v>
      </c>
      <c r="AG16" s="80"/>
    </row>
    <row r="17" spans="1:33" ht="13.9">
      <c r="A17" s="45" t="s">
        <v>345</v>
      </c>
      <c r="B17" s="46" t="s">
        <v>139</v>
      </c>
      <c r="C17" s="46">
        <v>16</v>
      </c>
      <c r="D17" s="46" t="s">
        <v>346</v>
      </c>
      <c r="E17" s="61">
        <f t="shared" si="0"/>
        <v>0.96644084643352246</v>
      </c>
      <c r="F17" s="373"/>
      <c r="K17" s="5"/>
      <c r="Q17" s="93" t="s">
        <v>257</v>
      </c>
      <c r="R17" s="94">
        <v>0.90135028841111697</v>
      </c>
      <c r="S17" s="93" t="s">
        <v>203</v>
      </c>
      <c r="W17" s="37" t="s">
        <v>328</v>
      </c>
      <c r="X17" s="44" t="s">
        <v>141</v>
      </c>
      <c r="Y17" s="44">
        <v>14</v>
      </c>
      <c r="Z17" s="44" t="s">
        <v>331</v>
      </c>
      <c r="AA17" s="70">
        <v>1</v>
      </c>
      <c r="AC17" s="67" t="s">
        <v>145</v>
      </c>
      <c r="AD17" s="68"/>
      <c r="AE17" s="68"/>
      <c r="AF17" s="42">
        <f>AVERAGE(Y$48:Y$67)</f>
        <v>14.6</v>
      </c>
      <c r="AG17" s="79"/>
    </row>
    <row r="18" spans="1:33" ht="14.45" thickBot="1">
      <c r="A18" s="37" t="s">
        <v>217</v>
      </c>
      <c r="B18" s="44" t="s">
        <v>140</v>
      </c>
      <c r="C18" s="44">
        <v>15</v>
      </c>
      <c r="D18" s="44" t="s">
        <v>218</v>
      </c>
      <c r="E18" s="60">
        <f t="shared" si="0"/>
        <v>0.91262379340604238</v>
      </c>
      <c r="F18" s="373"/>
      <c r="K18" s="5"/>
      <c r="Q18" s="93" t="s">
        <v>378</v>
      </c>
      <c r="R18" s="94">
        <v>0.91044690077830015</v>
      </c>
      <c r="S18" s="93" t="s">
        <v>203</v>
      </c>
      <c r="W18" s="37" t="s">
        <v>287</v>
      </c>
      <c r="X18" s="44" t="s">
        <v>142</v>
      </c>
      <c r="Y18" s="44">
        <v>13</v>
      </c>
      <c r="Z18" s="44" t="s">
        <v>441</v>
      </c>
      <c r="AA18" s="70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9">
      <c r="A19" s="37" t="s">
        <v>219</v>
      </c>
      <c r="B19" s="44" t="s">
        <v>140</v>
      </c>
      <c r="C19" s="44">
        <v>15</v>
      </c>
      <c r="D19" s="44" t="s">
        <v>220</v>
      </c>
      <c r="E19" s="60">
        <f t="shared" si="0"/>
        <v>0.84890438247011957</v>
      </c>
      <c r="F19" s="373"/>
      <c r="K19" s="5"/>
      <c r="Q19" s="93" t="s">
        <v>250</v>
      </c>
      <c r="R19" s="94">
        <v>0.72270267536539723</v>
      </c>
      <c r="S19" s="93" t="s">
        <v>204</v>
      </c>
      <c r="W19" s="37" t="s">
        <v>354</v>
      </c>
      <c r="X19" s="44" t="s">
        <v>142</v>
      </c>
      <c r="Y19" s="44">
        <v>13</v>
      </c>
      <c r="Z19" s="44" t="s">
        <v>355</v>
      </c>
      <c r="AA19" s="70">
        <v>1</v>
      </c>
      <c r="AC19" s="37" t="s">
        <v>137</v>
      </c>
      <c r="AD19" s="49">
        <f>COUNTIF(Y$48:Y$67,"&gt;16")</f>
        <v>2</v>
      </c>
      <c r="AE19" s="50">
        <f>AD19/AD$14</f>
        <v>5.7142857142857141E-2</v>
      </c>
      <c r="AG19" s="80"/>
    </row>
    <row r="20" spans="1:33" ht="13.9">
      <c r="A20" s="37" t="s">
        <v>395</v>
      </c>
      <c r="B20" s="44" t="s">
        <v>140</v>
      </c>
      <c r="C20" s="44">
        <v>15</v>
      </c>
      <c r="D20" s="44" t="s">
        <v>396</v>
      </c>
      <c r="E20" s="60">
        <f t="shared" si="0"/>
        <v>0.66731657086909912</v>
      </c>
      <c r="F20" s="373"/>
      <c r="K20" s="5"/>
      <c r="Q20" s="93" t="s">
        <v>425</v>
      </c>
      <c r="R20" s="94">
        <v>0.99675869094774683</v>
      </c>
      <c r="S20" s="93" t="s">
        <v>203</v>
      </c>
      <c r="W20" s="37" t="s">
        <v>301</v>
      </c>
      <c r="X20" s="44" t="s">
        <v>140</v>
      </c>
      <c r="Y20" s="44">
        <v>15</v>
      </c>
      <c r="Z20" s="44" t="s">
        <v>302</v>
      </c>
      <c r="AA20" s="70">
        <v>0.99967400162999187</v>
      </c>
      <c r="AC20" s="37" t="s">
        <v>139</v>
      </c>
      <c r="AD20" s="49">
        <f>COUNTIF(Y$48:Y$67,"=16")</f>
        <v>2</v>
      </c>
      <c r="AE20" s="50">
        <f t="shared" ref="AE20:AE25" si="3">AD20/AD$14</f>
        <v>5.7142857142857141E-2</v>
      </c>
      <c r="AG20" s="80"/>
    </row>
    <row r="21" spans="1:33" ht="13.9">
      <c r="A21" s="37" t="s">
        <v>442</v>
      </c>
      <c r="B21" s="44" t="s">
        <v>140</v>
      </c>
      <c r="C21" s="44">
        <v>15</v>
      </c>
      <c r="D21" s="44" t="s">
        <v>443</v>
      </c>
      <c r="E21" s="60" t="s">
        <v>423</v>
      </c>
      <c r="F21" s="373"/>
      <c r="Q21" s="93" t="s">
        <v>194</v>
      </c>
      <c r="R21" s="94">
        <v>0.58142655748172922</v>
      </c>
      <c r="S21" s="93" t="s">
        <v>204</v>
      </c>
      <c r="W21" s="37" t="s">
        <v>411</v>
      </c>
      <c r="X21" s="44" t="s">
        <v>175</v>
      </c>
      <c r="Y21" s="44">
        <v>11</v>
      </c>
      <c r="Z21" s="44" t="s">
        <v>412</v>
      </c>
      <c r="AA21" s="70">
        <v>0.99872589064335693</v>
      </c>
      <c r="AC21" s="37" t="s">
        <v>140</v>
      </c>
      <c r="AD21" s="49">
        <f>COUNTIF(Y$48:Y$67,"=15")</f>
        <v>5</v>
      </c>
      <c r="AE21" s="50">
        <f t="shared" si="3"/>
        <v>0.14285714285714285</v>
      </c>
      <c r="AG21" s="80"/>
    </row>
    <row r="22" spans="1:33" ht="13.9">
      <c r="A22" s="37" t="s">
        <v>444</v>
      </c>
      <c r="B22" s="44" t="s">
        <v>140</v>
      </c>
      <c r="C22" s="44">
        <v>15</v>
      </c>
      <c r="D22" s="44" t="s">
        <v>445</v>
      </c>
      <c r="E22" s="60" t="s">
        <v>423</v>
      </c>
      <c r="F22" s="373"/>
      <c r="Q22" s="93" t="s">
        <v>454</v>
      </c>
      <c r="R22" s="94">
        <v>1</v>
      </c>
      <c r="S22" s="93" t="s">
        <v>203</v>
      </c>
      <c r="W22" s="37" t="s">
        <v>431</v>
      </c>
      <c r="X22" s="44" t="s">
        <v>164</v>
      </c>
      <c r="Y22" s="44">
        <v>18</v>
      </c>
      <c r="Z22" s="44" t="s">
        <v>432</v>
      </c>
      <c r="AA22" s="70">
        <v>0.99706741779950658</v>
      </c>
      <c r="AC22" s="37" t="s">
        <v>141</v>
      </c>
      <c r="AD22" s="49">
        <f>COUNTIF(Y$48:Y$67,"=14")</f>
        <v>6</v>
      </c>
      <c r="AE22" s="50">
        <f t="shared" si="3"/>
        <v>0.17142857142857143</v>
      </c>
      <c r="AG22" s="80"/>
    </row>
    <row r="23" spans="1:33" ht="13.9">
      <c r="A23" s="37" t="s">
        <v>271</v>
      </c>
      <c r="B23" s="44" t="s">
        <v>140</v>
      </c>
      <c r="C23" s="44">
        <v>15</v>
      </c>
      <c r="D23" s="44" t="s">
        <v>272</v>
      </c>
      <c r="E23" s="60">
        <f t="shared" si="0"/>
        <v>0.36017814864816144</v>
      </c>
      <c r="F23" s="373"/>
      <c r="Q23" s="93" t="s">
        <v>262</v>
      </c>
      <c r="R23" s="94">
        <v>0.81467245298615421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70">
        <v>0.99458022018280356</v>
      </c>
      <c r="AC23" s="37" t="s">
        <v>142</v>
      </c>
      <c r="AD23" s="49">
        <f>COUNTIF(Y$48:Y$67,"=13")</f>
        <v>5</v>
      </c>
      <c r="AE23" s="50">
        <f t="shared" si="3"/>
        <v>0.14285714285714285</v>
      </c>
      <c r="AG23" s="80"/>
    </row>
    <row r="24" spans="1:33" ht="14.45" thickBot="1">
      <c r="A24" s="37" t="s">
        <v>408</v>
      </c>
      <c r="B24" s="44" t="s">
        <v>140</v>
      </c>
      <c r="C24" s="44">
        <v>15</v>
      </c>
      <c r="D24" s="44" t="s">
        <v>451</v>
      </c>
      <c r="E24" s="60">
        <f t="shared" si="0"/>
        <v>0.7469877361024081</v>
      </c>
      <c r="F24" s="373"/>
      <c r="Q24" s="93" t="s">
        <v>264</v>
      </c>
      <c r="R24" s="94">
        <v>0.7497019635343618</v>
      </c>
      <c r="S24" s="93" t="s">
        <v>204</v>
      </c>
      <c r="W24" s="37" t="s">
        <v>305</v>
      </c>
      <c r="X24" s="44" t="s">
        <v>173</v>
      </c>
      <c r="Y24" s="44">
        <v>12</v>
      </c>
      <c r="Z24" s="44" t="s">
        <v>456</v>
      </c>
      <c r="AA24" s="70">
        <v>0.99417211067658851</v>
      </c>
      <c r="AC24" s="53" t="s">
        <v>143</v>
      </c>
      <c r="AD24" s="55">
        <f>COUNTIF(Y$48:Y$67,"&lt;13")</f>
        <v>0</v>
      </c>
      <c r="AE24" s="56">
        <f t="shared" si="3"/>
        <v>0</v>
      </c>
      <c r="AG24" s="80"/>
    </row>
    <row r="25" spans="1:33" ht="13.9">
      <c r="A25" s="37" t="s">
        <v>277</v>
      </c>
      <c r="B25" s="44" t="s">
        <v>140</v>
      </c>
      <c r="C25" s="44">
        <v>15</v>
      </c>
      <c r="D25" s="44" t="s">
        <v>278</v>
      </c>
      <c r="E25" s="60">
        <f t="shared" si="0"/>
        <v>0.75386351438754873</v>
      </c>
      <c r="F25" s="373"/>
      <c r="Q25" s="93" t="s">
        <v>455</v>
      </c>
      <c r="R25" s="94">
        <v>0.96341849943457658</v>
      </c>
      <c r="S25" s="93" t="s">
        <v>203</v>
      </c>
      <c r="W25" s="37" t="s">
        <v>389</v>
      </c>
      <c r="X25" s="44" t="s">
        <v>141</v>
      </c>
      <c r="Y25" s="44">
        <v>14</v>
      </c>
      <c r="Z25" s="44" t="s">
        <v>390</v>
      </c>
      <c r="AA25" s="70">
        <v>0.9915841495030967</v>
      </c>
      <c r="AC25" s="41" t="s">
        <v>144</v>
      </c>
      <c r="AD25" s="51">
        <f>SUM(AD19:AD24)</f>
        <v>20</v>
      </c>
      <c r="AE25" s="52">
        <f t="shared" si="3"/>
        <v>0.5714285714285714</v>
      </c>
      <c r="AG25" s="80"/>
    </row>
    <row r="26" spans="1:33" ht="13.9">
      <c r="A26" s="37" t="s">
        <v>301</v>
      </c>
      <c r="B26" s="44" t="s">
        <v>140</v>
      </c>
      <c r="C26" s="44">
        <v>15</v>
      </c>
      <c r="D26" s="44" t="s">
        <v>302</v>
      </c>
      <c r="E26" s="60">
        <f t="shared" si="0"/>
        <v>0.99967400162999187</v>
      </c>
      <c r="F26" s="373"/>
      <c r="Q26" s="93" t="s">
        <v>228</v>
      </c>
      <c r="R26" s="94">
        <v>0.89410444897115693</v>
      </c>
      <c r="S26" s="93" t="s">
        <v>203</v>
      </c>
      <c r="W26" s="37" t="s">
        <v>281</v>
      </c>
      <c r="X26" s="44" t="s">
        <v>142</v>
      </c>
      <c r="Y26" s="44">
        <v>13</v>
      </c>
      <c r="Z26" s="44" t="s">
        <v>282</v>
      </c>
      <c r="AA26" s="70">
        <v>0.97501693766937669</v>
      </c>
      <c r="AG26" s="80"/>
    </row>
    <row r="27" spans="1:33" ht="13.9">
      <c r="A27" s="37" t="s">
        <v>285</v>
      </c>
      <c r="B27" s="44" t="s">
        <v>140</v>
      </c>
      <c r="C27" s="44">
        <v>15</v>
      </c>
      <c r="D27" s="44" t="s">
        <v>286</v>
      </c>
      <c r="E27" s="60">
        <f t="shared" si="0"/>
        <v>1</v>
      </c>
      <c r="F27" s="373"/>
      <c r="Q27" s="93" t="s">
        <v>368</v>
      </c>
      <c r="R27" s="94">
        <v>1.0293089747728885</v>
      </c>
      <c r="S27" s="93" t="s">
        <v>203</v>
      </c>
      <c r="W27" s="37" t="s">
        <v>222</v>
      </c>
      <c r="X27" s="44" t="s">
        <v>141</v>
      </c>
      <c r="Y27" s="44">
        <v>14</v>
      </c>
      <c r="Z27" s="44" t="s">
        <v>223</v>
      </c>
      <c r="AA27" s="70">
        <v>0.97067096880946468</v>
      </c>
      <c r="AG27" s="80"/>
    </row>
    <row r="28" spans="1:33" ht="13.9">
      <c r="A28" s="37" t="s">
        <v>427</v>
      </c>
      <c r="B28" s="44" t="s">
        <v>140</v>
      </c>
      <c r="C28" s="44">
        <v>15</v>
      </c>
      <c r="D28" s="44" t="s">
        <v>428</v>
      </c>
      <c r="E28" s="60">
        <f t="shared" si="0"/>
        <v>0.85164553720066594</v>
      </c>
      <c r="F28" s="373"/>
      <c r="Q28" s="93" t="s">
        <v>331</v>
      </c>
      <c r="R28" s="94">
        <v>1</v>
      </c>
      <c r="S28" s="93" t="s">
        <v>203</v>
      </c>
      <c r="W28" s="37" t="s">
        <v>458</v>
      </c>
      <c r="X28" s="44" t="s">
        <v>173</v>
      </c>
      <c r="Y28" s="44">
        <v>12</v>
      </c>
      <c r="Z28" s="44" t="s">
        <v>459</v>
      </c>
      <c r="AA28" s="70">
        <v>0.97028603165787286</v>
      </c>
      <c r="AC28" s="67" t="s">
        <v>147</v>
      </c>
      <c r="AD28" s="68"/>
      <c r="AE28" s="68"/>
      <c r="AF28" s="42">
        <f>AVERAGE(Y$68:Y$72)</f>
        <v>12.6</v>
      </c>
      <c r="AG28" s="79"/>
    </row>
    <row r="29" spans="1:33" ht="14.45" thickBot="1">
      <c r="A29" s="37" t="s">
        <v>347</v>
      </c>
      <c r="B29" s="44" t="s">
        <v>140</v>
      </c>
      <c r="C29" s="44">
        <v>15</v>
      </c>
      <c r="D29" s="44" t="s">
        <v>348</v>
      </c>
      <c r="E29" s="60">
        <f t="shared" si="0"/>
        <v>0.77327600463039525</v>
      </c>
      <c r="F29" s="373"/>
      <c r="Q29" s="93" t="s">
        <v>457</v>
      </c>
      <c r="R29" s="94">
        <v>0.27230062686467099</v>
      </c>
      <c r="S29" s="93" t="s">
        <v>194</v>
      </c>
      <c r="W29" s="37" t="s">
        <v>345</v>
      </c>
      <c r="X29" s="44" t="s">
        <v>139</v>
      </c>
      <c r="Y29" s="44">
        <v>16</v>
      </c>
      <c r="Z29" s="44" t="s">
        <v>346</v>
      </c>
      <c r="AA29" s="70">
        <v>0.96644084643352246</v>
      </c>
      <c r="AC29" s="57" t="s">
        <v>210</v>
      </c>
      <c r="AD29" s="57" t="s">
        <v>134</v>
      </c>
      <c r="AE29" s="57" t="s">
        <v>135</v>
      </c>
    </row>
    <row r="30" spans="1:33" ht="13.9">
      <c r="A30" s="37" t="s">
        <v>291</v>
      </c>
      <c r="B30" s="44" t="s">
        <v>140</v>
      </c>
      <c r="C30" s="44">
        <v>15</v>
      </c>
      <c r="D30" s="44" t="s">
        <v>292</v>
      </c>
      <c r="E30" s="60">
        <f t="shared" si="0"/>
        <v>0.614337822671156</v>
      </c>
      <c r="F30" s="373"/>
      <c r="Q30" s="93" t="s">
        <v>266</v>
      </c>
      <c r="R30" s="94">
        <v>0.78356336260978665</v>
      </c>
      <c r="S30" s="93" t="s">
        <v>204</v>
      </c>
      <c r="W30" s="37" t="s">
        <v>460</v>
      </c>
      <c r="X30" s="44" t="s">
        <v>139</v>
      </c>
      <c r="Y30" s="44">
        <v>16</v>
      </c>
      <c r="Z30" s="44" t="s">
        <v>455</v>
      </c>
      <c r="AA30" s="70">
        <v>0.96341849943457658</v>
      </c>
      <c r="AC30" s="37" t="s">
        <v>137</v>
      </c>
      <c r="AD30" s="49">
        <f>COUNTIF(Y$68:Y$72,"&gt;16")</f>
        <v>0</v>
      </c>
      <c r="AE30" s="50">
        <f>AD30/AD$14</f>
        <v>0</v>
      </c>
    </row>
    <row r="31" spans="1:33" ht="13.9">
      <c r="A31" s="37" t="s">
        <v>247</v>
      </c>
      <c r="B31" s="44" t="s">
        <v>140</v>
      </c>
      <c r="C31" s="44">
        <v>15</v>
      </c>
      <c r="D31" s="44" t="s">
        <v>248</v>
      </c>
      <c r="E31" s="60">
        <f t="shared" si="0"/>
        <v>0.84932154135723226</v>
      </c>
      <c r="F31" s="373"/>
      <c r="K31" s="122"/>
      <c r="L31" s="122"/>
      <c r="Q31" s="93" t="s">
        <v>268</v>
      </c>
      <c r="R31" s="94">
        <v>0.79472908539599674</v>
      </c>
      <c r="S31" s="93" t="s">
        <v>204</v>
      </c>
      <c r="W31" s="37" t="s">
        <v>394</v>
      </c>
      <c r="X31" s="44" t="s">
        <v>141</v>
      </c>
      <c r="Y31" s="44">
        <v>14</v>
      </c>
      <c r="Z31" s="44" t="s">
        <v>236</v>
      </c>
      <c r="AA31" s="70">
        <v>0.9619710194413027</v>
      </c>
      <c r="AC31" s="37" t="s">
        <v>139</v>
      </c>
      <c r="AD31" s="49">
        <f>COUNTIF(Y$68:Y$72,"=16")</f>
        <v>0</v>
      </c>
      <c r="AE31" s="50">
        <f t="shared" ref="AE31:AE36" si="4">AD31/AD$14</f>
        <v>0</v>
      </c>
    </row>
    <row r="32" spans="1:33" ht="13.9">
      <c r="A32" s="37" t="s">
        <v>251</v>
      </c>
      <c r="B32" s="44" t="s">
        <v>140</v>
      </c>
      <c r="C32" s="44">
        <v>15</v>
      </c>
      <c r="D32" s="44" t="s">
        <v>252</v>
      </c>
      <c r="E32" s="60">
        <f t="shared" si="0"/>
        <v>0.94699999999999995</v>
      </c>
      <c r="F32" s="373"/>
      <c r="L32" s="122"/>
      <c r="Q32" s="93" t="s">
        <v>270</v>
      </c>
      <c r="R32" s="94">
        <v>0.60422936152907691</v>
      </c>
      <c r="S32" s="93" t="s">
        <v>204</v>
      </c>
      <c r="W32" s="37" t="s">
        <v>283</v>
      </c>
      <c r="X32" s="44" t="s">
        <v>141</v>
      </c>
      <c r="Y32" s="44">
        <v>14</v>
      </c>
      <c r="Z32" s="44" t="s">
        <v>284</v>
      </c>
      <c r="AA32" s="70">
        <v>0.96099371344273887</v>
      </c>
      <c r="AC32" s="37" t="s">
        <v>140</v>
      </c>
      <c r="AD32" s="49">
        <f>COUNTIF(Y$68:Y$72,"=15")</f>
        <v>1</v>
      </c>
      <c r="AE32" s="50">
        <f t="shared" si="4"/>
        <v>2.8571428571428571E-2</v>
      </c>
    </row>
    <row r="33" spans="1:31" ht="13.9">
      <c r="A33" s="45" t="s">
        <v>222</v>
      </c>
      <c r="B33" s="46" t="s">
        <v>141</v>
      </c>
      <c r="C33" s="46">
        <v>14</v>
      </c>
      <c r="D33" s="46" t="s">
        <v>223</v>
      </c>
      <c r="E33" s="61">
        <f t="shared" si="0"/>
        <v>0.97067096880946468</v>
      </c>
      <c r="F33" s="373"/>
      <c r="L33" s="122"/>
      <c r="Q33" s="93" t="s">
        <v>276</v>
      </c>
      <c r="R33" s="94">
        <v>0.66983442164179108</v>
      </c>
      <c r="S33" s="93" t="s">
        <v>204</v>
      </c>
      <c r="W33" s="37" t="s">
        <v>251</v>
      </c>
      <c r="X33" s="44" t="s">
        <v>140</v>
      </c>
      <c r="Y33" s="44">
        <v>15</v>
      </c>
      <c r="Z33" s="44" t="s">
        <v>252</v>
      </c>
      <c r="AA33" s="70">
        <v>0.94699999999999995</v>
      </c>
      <c r="AC33" s="37" t="s">
        <v>141</v>
      </c>
      <c r="AD33" s="49">
        <f>COUNTIF(Y$68:Y$72,"=14")</f>
        <v>2</v>
      </c>
      <c r="AE33" s="50">
        <f t="shared" si="4"/>
        <v>5.7142857142857141E-2</v>
      </c>
    </row>
    <row r="34" spans="1:31" ht="13.9">
      <c r="A34" s="45" t="s">
        <v>249</v>
      </c>
      <c r="B34" s="46" t="s">
        <v>141</v>
      </c>
      <c r="C34" s="46">
        <v>14</v>
      </c>
      <c r="D34" s="46" t="s">
        <v>250</v>
      </c>
      <c r="E34" s="61">
        <f t="shared" si="0"/>
        <v>0.72270267536539723</v>
      </c>
      <c r="F34" s="373"/>
      <c r="L34" s="122"/>
      <c r="Q34" s="93" t="s">
        <v>353</v>
      </c>
      <c r="R34" s="94">
        <v>1.0333026830763428</v>
      </c>
      <c r="S34" s="93" t="s">
        <v>203</v>
      </c>
      <c r="W34" s="37" t="s">
        <v>238</v>
      </c>
      <c r="X34" s="44" t="s">
        <v>142</v>
      </c>
      <c r="Y34" s="44">
        <v>13</v>
      </c>
      <c r="Z34" s="44" t="s">
        <v>239</v>
      </c>
      <c r="AA34" s="70">
        <v>0.9427287640364086</v>
      </c>
      <c r="AC34" s="37" t="s">
        <v>142</v>
      </c>
      <c r="AD34" s="49">
        <f>COUNTIF(Y$68:Y$72,"=13")</f>
        <v>1</v>
      </c>
      <c r="AE34" s="50">
        <f t="shared" si="4"/>
        <v>2.8571428571428571E-2</v>
      </c>
    </row>
    <row r="35" spans="1:31" ht="14.45" thickBot="1">
      <c r="A35" s="45" t="s">
        <v>254</v>
      </c>
      <c r="B35" s="46" t="s">
        <v>141</v>
      </c>
      <c r="C35" s="46">
        <v>14</v>
      </c>
      <c r="D35" s="46" t="s">
        <v>378</v>
      </c>
      <c r="E35" s="61">
        <f t="shared" si="0"/>
        <v>0.91044690077830015</v>
      </c>
      <c r="F35" s="373"/>
      <c r="G35" s="49" t="s">
        <v>373</v>
      </c>
      <c r="L35" s="122"/>
      <c r="Q35" s="93" t="s">
        <v>280</v>
      </c>
      <c r="R35" s="94">
        <v>0.44575810739314115</v>
      </c>
      <c r="S35" s="93" t="s">
        <v>194</v>
      </c>
      <c r="W35" s="37" t="s">
        <v>293</v>
      </c>
      <c r="X35" s="44" t="s">
        <v>166</v>
      </c>
      <c r="Y35" s="44">
        <v>17</v>
      </c>
      <c r="Z35" s="44" t="s">
        <v>294</v>
      </c>
      <c r="AA35" s="70">
        <v>0.93000422702993502</v>
      </c>
      <c r="AC35" s="53" t="s">
        <v>143</v>
      </c>
      <c r="AD35" s="55">
        <f>COUNTIF(Y$68:Y$72,"&lt;13")</f>
        <v>1</v>
      </c>
      <c r="AE35" s="56">
        <f t="shared" si="4"/>
        <v>2.8571428571428571E-2</v>
      </c>
    </row>
    <row r="36" spans="1:31" ht="13.9">
      <c r="A36" s="45" t="s">
        <v>261</v>
      </c>
      <c r="B36" s="46" t="s">
        <v>141</v>
      </c>
      <c r="C36" s="46">
        <v>14</v>
      </c>
      <c r="D36" s="46" t="s">
        <v>262</v>
      </c>
      <c r="E36" s="61">
        <f t="shared" si="0"/>
        <v>0.81467245298615421</v>
      </c>
      <c r="F36" s="373"/>
      <c r="G36" s="92"/>
      <c r="H36" s="7"/>
      <c r="I36" s="7"/>
      <c r="L36" s="122"/>
      <c r="Q36" s="93" t="s">
        <v>284</v>
      </c>
      <c r="R36" s="94">
        <v>0.96099371344273887</v>
      </c>
      <c r="S36" s="93" t="s">
        <v>203</v>
      </c>
      <c r="W36" s="37" t="s">
        <v>217</v>
      </c>
      <c r="X36" s="44" t="s">
        <v>140</v>
      </c>
      <c r="Y36" s="44">
        <v>15</v>
      </c>
      <c r="Z36" s="44" t="s">
        <v>218</v>
      </c>
      <c r="AA36" s="70">
        <v>0.91262379340604238</v>
      </c>
      <c r="AC36" s="41" t="s">
        <v>144</v>
      </c>
      <c r="AD36" s="51">
        <f>SUM(AD30:AD35)</f>
        <v>5</v>
      </c>
      <c r="AE36" s="52">
        <f t="shared" si="4"/>
        <v>0.14285714285714285</v>
      </c>
    </row>
    <row r="37" spans="1:31" ht="13.9">
      <c r="A37" s="45" t="s">
        <v>328</v>
      </c>
      <c r="B37" s="46" t="s">
        <v>141</v>
      </c>
      <c r="C37" s="46">
        <v>14</v>
      </c>
      <c r="D37" s="46" t="s">
        <v>331</v>
      </c>
      <c r="E37" s="61">
        <f t="shared" si="0"/>
        <v>1</v>
      </c>
      <c r="F37" s="373"/>
      <c r="H37" s="5"/>
      <c r="J37" s="7"/>
      <c r="Q37" s="93" t="s">
        <v>220</v>
      </c>
      <c r="R37" s="94">
        <v>0.84890438247011957</v>
      </c>
      <c r="S37" s="93" t="s">
        <v>203</v>
      </c>
      <c r="W37" s="37" t="s">
        <v>254</v>
      </c>
      <c r="X37" s="44" t="s">
        <v>141</v>
      </c>
      <c r="Y37" s="44">
        <v>14</v>
      </c>
      <c r="Z37" s="44" t="s">
        <v>378</v>
      </c>
      <c r="AA37" s="70">
        <v>0.91044690077830015</v>
      </c>
    </row>
    <row r="38" spans="1:31" ht="13.9">
      <c r="A38" s="45" t="s">
        <v>267</v>
      </c>
      <c r="B38" s="46" t="s">
        <v>141</v>
      </c>
      <c r="C38" s="46">
        <v>14</v>
      </c>
      <c r="D38" s="46" t="s">
        <v>268</v>
      </c>
      <c r="E38" s="61">
        <f t="shared" si="0"/>
        <v>0.79472908539599674</v>
      </c>
      <c r="F38" s="373"/>
      <c r="H38" s="5"/>
      <c r="J38" s="8"/>
      <c r="Q38" s="93" t="s">
        <v>476</v>
      </c>
      <c r="R38" s="94">
        <v>0.98237685298627964</v>
      </c>
      <c r="S38" s="93" t="s">
        <v>203</v>
      </c>
      <c r="W38" s="37" t="s">
        <v>369</v>
      </c>
      <c r="X38" s="44" t="s">
        <v>141</v>
      </c>
      <c r="Y38" s="44">
        <v>14</v>
      </c>
      <c r="Z38" s="44" t="s">
        <v>375</v>
      </c>
      <c r="AA38" s="70">
        <v>0.90975829351063098</v>
      </c>
    </row>
    <row r="39" spans="1:31" ht="13.9">
      <c r="A39" s="45" t="s">
        <v>269</v>
      </c>
      <c r="B39" s="46" t="s">
        <v>141</v>
      </c>
      <c r="C39" s="46">
        <v>14</v>
      </c>
      <c r="D39" s="46" t="s">
        <v>270</v>
      </c>
      <c r="E39" s="61">
        <f t="shared" si="0"/>
        <v>0.60422936152907691</v>
      </c>
      <c r="F39" s="373"/>
      <c r="H39" s="5"/>
      <c r="J39" s="8"/>
      <c r="Q39" s="93" t="s">
        <v>272</v>
      </c>
      <c r="R39" s="94">
        <v>0.36017814864816144</v>
      </c>
      <c r="S39" s="93" t="s">
        <v>194</v>
      </c>
      <c r="W39" s="37" t="s">
        <v>256</v>
      </c>
      <c r="X39" s="44" t="s">
        <v>142</v>
      </c>
      <c r="Y39" s="44">
        <v>13</v>
      </c>
      <c r="Z39" s="44" t="s">
        <v>257</v>
      </c>
      <c r="AA39" s="70">
        <v>0.90135028841111697</v>
      </c>
    </row>
    <row r="40" spans="1:31" ht="13.9">
      <c r="A40" s="45" t="s">
        <v>275</v>
      </c>
      <c r="B40" s="46" t="s">
        <v>141</v>
      </c>
      <c r="C40" s="46">
        <v>14</v>
      </c>
      <c r="D40" s="46" t="s">
        <v>276</v>
      </c>
      <c r="E40" s="61">
        <f t="shared" si="0"/>
        <v>0.66983442164179108</v>
      </c>
      <c r="F40" s="373"/>
      <c r="H40" s="5"/>
      <c r="J40" s="8"/>
      <c r="Q40" s="93" t="s">
        <v>461</v>
      </c>
      <c r="R40" s="94">
        <v>0.77794419936265724</v>
      </c>
      <c r="S40" s="93" t="s">
        <v>204</v>
      </c>
      <c r="W40" s="37" t="s">
        <v>227</v>
      </c>
      <c r="X40" s="44" t="s">
        <v>139</v>
      </c>
      <c r="Y40" s="44">
        <v>16</v>
      </c>
      <c r="Z40" s="44" t="s">
        <v>228</v>
      </c>
      <c r="AA40" s="70">
        <v>0.89410444897115693</v>
      </c>
    </row>
    <row r="41" spans="1:31" ht="13.9">
      <c r="A41" s="45" t="s">
        <v>352</v>
      </c>
      <c r="B41" s="46" t="s">
        <v>141</v>
      </c>
      <c r="C41" s="46">
        <v>14</v>
      </c>
      <c r="D41" s="46" t="s">
        <v>353</v>
      </c>
      <c r="E41" s="61">
        <f t="shared" si="0"/>
        <v>1.0333026830763428</v>
      </c>
      <c r="F41" s="373"/>
      <c r="H41" s="5"/>
      <c r="J41" s="8"/>
      <c r="Q41" s="93" t="s">
        <v>241</v>
      </c>
      <c r="R41" s="94">
        <v>0.55330389203021169</v>
      </c>
      <c r="S41" s="93" t="s">
        <v>204</v>
      </c>
      <c r="W41" s="37" t="s">
        <v>303</v>
      </c>
      <c r="X41" s="44" t="s">
        <v>177</v>
      </c>
      <c r="Y41" s="44">
        <v>10</v>
      </c>
      <c r="Z41" s="44" t="s">
        <v>304</v>
      </c>
      <c r="AA41" s="70">
        <v>0.89259170051200387</v>
      </c>
    </row>
    <row r="42" spans="1:31" ht="13.9">
      <c r="A42" s="45" t="s">
        <v>446</v>
      </c>
      <c r="B42" s="46" t="s">
        <v>141</v>
      </c>
      <c r="C42" s="46">
        <v>14</v>
      </c>
      <c r="D42" s="46" t="s">
        <v>447</v>
      </c>
      <c r="E42" s="61" t="s">
        <v>423</v>
      </c>
      <c r="F42" s="373"/>
      <c r="H42" s="5"/>
      <c r="J42" s="8"/>
      <c r="Q42" s="93" t="s">
        <v>274</v>
      </c>
      <c r="R42" s="94">
        <v>0.58034319753835939</v>
      </c>
      <c r="S42" s="93" t="s">
        <v>204</v>
      </c>
      <c r="W42" s="37" t="s">
        <v>462</v>
      </c>
      <c r="X42" s="44" t="s">
        <v>166</v>
      </c>
      <c r="Y42" s="44">
        <v>17</v>
      </c>
      <c r="Z42" s="44" t="s">
        <v>453</v>
      </c>
      <c r="AA42" s="70">
        <v>0.87497195036407094</v>
      </c>
    </row>
    <row r="43" spans="1:31" ht="13.9">
      <c r="A43" s="45" t="s">
        <v>279</v>
      </c>
      <c r="B43" s="46" t="s">
        <v>141</v>
      </c>
      <c r="C43" s="46">
        <v>14</v>
      </c>
      <c r="D43" s="46" t="s">
        <v>280</v>
      </c>
      <c r="E43" s="61">
        <f t="shared" si="0"/>
        <v>0.44575810739314115</v>
      </c>
      <c r="F43" s="373"/>
      <c r="Q43" s="93" t="s">
        <v>432</v>
      </c>
      <c r="R43" s="94">
        <v>0.99706741779950658</v>
      </c>
      <c r="S43" s="93" t="s">
        <v>203</v>
      </c>
      <c r="W43" s="37" t="s">
        <v>427</v>
      </c>
      <c r="X43" s="44" t="s">
        <v>140</v>
      </c>
      <c r="Y43" s="44">
        <v>15</v>
      </c>
      <c r="Z43" s="44" t="s">
        <v>428</v>
      </c>
      <c r="AA43" s="70">
        <v>0.85164553720066594</v>
      </c>
    </row>
    <row r="44" spans="1:31" ht="13.9">
      <c r="A44" s="45" t="s">
        <v>283</v>
      </c>
      <c r="B44" s="46" t="s">
        <v>141</v>
      </c>
      <c r="C44" s="46">
        <v>14</v>
      </c>
      <c r="D44" s="46" t="s">
        <v>284</v>
      </c>
      <c r="E44" s="61">
        <f t="shared" si="0"/>
        <v>0.96099371344273887</v>
      </c>
      <c r="F44" s="373"/>
      <c r="Q44" s="93" t="s">
        <v>236</v>
      </c>
      <c r="R44" s="94">
        <v>0.9619710194413027</v>
      </c>
      <c r="S44" s="93" t="s">
        <v>203</v>
      </c>
      <c r="W44" s="37" t="s">
        <v>247</v>
      </c>
      <c r="X44" s="44" t="s">
        <v>140</v>
      </c>
      <c r="Y44" s="44">
        <v>15</v>
      </c>
      <c r="Z44" s="44" t="s">
        <v>248</v>
      </c>
      <c r="AA44" s="70">
        <v>0.84932154135723226</v>
      </c>
    </row>
    <row r="45" spans="1:31" ht="13.9">
      <c r="A45" s="45" t="s">
        <v>394</v>
      </c>
      <c r="B45" s="46" t="s">
        <v>141</v>
      </c>
      <c r="C45" s="46">
        <v>14</v>
      </c>
      <c r="D45" s="46" t="s">
        <v>236</v>
      </c>
      <c r="E45" s="61">
        <f t="shared" si="0"/>
        <v>0.9619710194413027</v>
      </c>
      <c r="F45" s="373"/>
      <c r="Q45" s="93" t="s">
        <v>412</v>
      </c>
      <c r="R45" s="94">
        <v>0.99872589064335693</v>
      </c>
      <c r="S45" s="93" t="s">
        <v>203</v>
      </c>
      <c r="W45" s="37" t="s">
        <v>219</v>
      </c>
      <c r="X45" s="44" t="s">
        <v>140</v>
      </c>
      <c r="Y45" s="44">
        <v>15</v>
      </c>
      <c r="Z45" s="44" t="s">
        <v>220</v>
      </c>
      <c r="AA45" s="70">
        <v>0.84890438247011957</v>
      </c>
    </row>
    <row r="46" spans="1:31" ht="13.9">
      <c r="A46" s="45" t="s">
        <v>297</v>
      </c>
      <c r="B46" s="46" t="s">
        <v>141</v>
      </c>
      <c r="C46" s="46">
        <v>14</v>
      </c>
      <c r="D46" s="46" t="s">
        <v>298</v>
      </c>
      <c r="E46" s="61">
        <f t="shared" si="0"/>
        <v>0.99458022018280356</v>
      </c>
      <c r="F46" s="373"/>
      <c r="G46" s="122"/>
      <c r="J46" s="122"/>
      <c r="Q46" s="93" t="s">
        <v>298</v>
      </c>
      <c r="R46" s="94">
        <v>0.99458022018280356</v>
      </c>
      <c r="S46" s="93" t="s">
        <v>203</v>
      </c>
      <c r="W46" s="37" t="s">
        <v>225</v>
      </c>
      <c r="X46" s="44" t="s">
        <v>142</v>
      </c>
      <c r="Y46" s="44">
        <v>13</v>
      </c>
      <c r="Z46" s="44" t="s">
        <v>226</v>
      </c>
      <c r="AA46" s="70">
        <v>0.82576712904581762</v>
      </c>
    </row>
    <row r="47" spans="1:31" ht="13.9">
      <c r="A47" s="45" t="s">
        <v>382</v>
      </c>
      <c r="B47" s="46" t="s">
        <v>141</v>
      </c>
      <c r="C47" s="46">
        <v>14</v>
      </c>
      <c r="D47" s="46" t="s">
        <v>383</v>
      </c>
      <c r="E47" s="61">
        <f t="shared" si="0"/>
        <v>0.64890043729006908</v>
      </c>
      <c r="F47" s="373"/>
      <c r="G47" s="122"/>
      <c r="I47" s="122"/>
      <c r="J47" s="122"/>
      <c r="Q47" s="93" t="s">
        <v>278</v>
      </c>
      <c r="R47" s="94">
        <v>0.75386351438754873</v>
      </c>
      <c r="S47" s="93" t="s">
        <v>204</v>
      </c>
      <c r="W47" s="37" t="s">
        <v>261</v>
      </c>
      <c r="X47" s="44" t="s">
        <v>141</v>
      </c>
      <c r="Y47" s="44">
        <v>14</v>
      </c>
      <c r="Z47" s="44" t="s">
        <v>262</v>
      </c>
      <c r="AA47" s="70">
        <v>0.81467245298615421</v>
      </c>
    </row>
    <row r="48" spans="1:31" ht="13.9">
      <c r="A48" s="45" t="s">
        <v>243</v>
      </c>
      <c r="B48" s="46" t="s">
        <v>141</v>
      </c>
      <c r="C48" s="46">
        <v>14</v>
      </c>
      <c r="D48" s="46" t="s">
        <v>244</v>
      </c>
      <c r="E48" s="61">
        <f t="shared" si="0"/>
        <v>0.42404692082111439</v>
      </c>
      <c r="F48" s="373"/>
      <c r="G48" s="122"/>
      <c r="I48" s="122"/>
      <c r="J48" s="122"/>
      <c r="Q48" s="93" t="s">
        <v>300</v>
      </c>
      <c r="R48" s="94">
        <v>0.63819230650865855</v>
      </c>
      <c r="S48" s="93" t="s">
        <v>204</v>
      </c>
      <c r="W48" s="37" t="s">
        <v>267</v>
      </c>
      <c r="X48" s="44" t="s">
        <v>141</v>
      </c>
      <c r="Y48" s="44">
        <v>14</v>
      </c>
      <c r="Z48" s="44" t="s">
        <v>268</v>
      </c>
      <c r="AA48" s="70">
        <v>0.79472908539599674</v>
      </c>
    </row>
    <row r="49" spans="1:27" ht="13.9">
      <c r="A49" s="45" t="s">
        <v>289</v>
      </c>
      <c r="B49" s="46" t="s">
        <v>141</v>
      </c>
      <c r="C49" s="46">
        <v>14</v>
      </c>
      <c r="D49" s="46" t="s">
        <v>290</v>
      </c>
      <c r="E49" s="61">
        <f t="shared" si="0"/>
        <v>0.57546119039331711</v>
      </c>
      <c r="F49" s="373"/>
      <c r="G49" s="122"/>
      <c r="I49" s="122"/>
      <c r="J49" s="122"/>
      <c r="Q49" s="93" t="s">
        <v>302</v>
      </c>
      <c r="R49" s="94">
        <v>0.99967400162999187</v>
      </c>
      <c r="S49" s="93" t="s">
        <v>203</v>
      </c>
      <c r="W49" s="37" t="s">
        <v>265</v>
      </c>
      <c r="X49" s="44" t="s">
        <v>142</v>
      </c>
      <c r="Y49" s="44">
        <v>13</v>
      </c>
      <c r="Z49" s="44" t="s">
        <v>266</v>
      </c>
      <c r="AA49" s="70">
        <v>0.78356336260978665</v>
      </c>
    </row>
    <row r="50" spans="1:27" ht="13.9">
      <c r="A50" s="45" t="s">
        <v>369</v>
      </c>
      <c r="B50" s="46" t="s">
        <v>141</v>
      </c>
      <c r="C50" s="46">
        <v>14</v>
      </c>
      <c r="D50" s="46" t="s">
        <v>375</v>
      </c>
      <c r="E50" s="61">
        <f t="shared" si="0"/>
        <v>0.90975829351063098</v>
      </c>
      <c r="F50" s="373"/>
      <c r="G50" s="122"/>
      <c r="I50" s="122"/>
      <c r="J50" s="122"/>
      <c r="Q50" s="93" t="s">
        <v>290</v>
      </c>
      <c r="R50" s="94">
        <v>0.57546119039331711</v>
      </c>
      <c r="S50" s="93" t="s">
        <v>204</v>
      </c>
      <c r="W50" s="37" t="s">
        <v>464</v>
      </c>
      <c r="X50" s="44" t="s">
        <v>162</v>
      </c>
      <c r="Y50" s="44">
        <v>19</v>
      </c>
      <c r="Z50" s="44" t="s">
        <v>461</v>
      </c>
      <c r="AA50" s="70">
        <v>0.77794419936265724</v>
      </c>
    </row>
    <row r="51" spans="1:27" ht="13.9">
      <c r="A51" s="84" t="s">
        <v>389</v>
      </c>
      <c r="B51" s="46" t="s">
        <v>141</v>
      </c>
      <c r="C51" s="46">
        <v>14</v>
      </c>
      <c r="D51" s="46" t="s">
        <v>390</v>
      </c>
      <c r="E51" s="61">
        <f>VLOOKUP($D51,$Q$7:$R$75,2,0)</f>
        <v>0.9915841495030967</v>
      </c>
      <c r="F51" s="373"/>
      <c r="I51" s="122"/>
      <c r="J51" s="122"/>
      <c r="Q51" s="93" t="s">
        <v>428</v>
      </c>
      <c r="R51" s="94">
        <v>0.85164553720066594</v>
      </c>
      <c r="S51" s="93" t="s">
        <v>203</v>
      </c>
      <c r="W51" s="37" t="s">
        <v>347</v>
      </c>
      <c r="X51" s="44" t="s">
        <v>140</v>
      </c>
      <c r="Y51" s="44">
        <v>15</v>
      </c>
      <c r="Z51" s="44" t="s">
        <v>348</v>
      </c>
      <c r="AA51" s="70">
        <v>0.77327600463039525</v>
      </c>
    </row>
    <row r="52" spans="1:27" ht="13.9">
      <c r="A52" s="37" t="s">
        <v>465</v>
      </c>
      <c r="B52" s="44" t="s">
        <v>142</v>
      </c>
      <c r="C52" s="44">
        <v>13</v>
      </c>
      <c r="D52" s="44" t="s">
        <v>448</v>
      </c>
      <c r="E52" s="60">
        <f t="shared" si="0"/>
        <v>0.62875460562079877</v>
      </c>
      <c r="F52" s="373"/>
      <c r="Q52" s="93" t="s">
        <v>304</v>
      </c>
      <c r="R52" s="94">
        <v>0.89259170051200387</v>
      </c>
      <c r="S52" s="93" t="s">
        <v>203</v>
      </c>
      <c r="W52" s="37" t="s">
        <v>277</v>
      </c>
      <c r="X52" s="44" t="s">
        <v>140</v>
      </c>
      <c r="Y52" s="44">
        <v>15</v>
      </c>
      <c r="Z52" s="44" t="s">
        <v>278</v>
      </c>
      <c r="AA52" s="70">
        <v>0.75386351438754873</v>
      </c>
    </row>
    <row r="53" spans="1:27" ht="13.9">
      <c r="A53" s="37" t="s">
        <v>225</v>
      </c>
      <c r="B53" s="44" t="s">
        <v>142</v>
      </c>
      <c r="C53" s="44">
        <v>13</v>
      </c>
      <c r="D53" s="44" t="s">
        <v>226</v>
      </c>
      <c r="E53" s="60">
        <f t="shared" si="0"/>
        <v>0.82576712904581762</v>
      </c>
      <c r="F53" s="373"/>
      <c r="Q53" s="93" t="s">
        <v>282</v>
      </c>
      <c r="R53" s="94">
        <v>0.97501693766937669</v>
      </c>
      <c r="S53" s="93" t="s">
        <v>203</v>
      </c>
      <c r="W53" s="37" t="s">
        <v>263</v>
      </c>
      <c r="X53" s="44" t="s">
        <v>139</v>
      </c>
      <c r="Y53" s="44">
        <v>16</v>
      </c>
      <c r="Z53" s="44" t="s">
        <v>264</v>
      </c>
      <c r="AA53" s="70">
        <v>0.7497019635343618</v>
      </c>
    </row>
    <row r="54" spans="1:27" ht="13.9">
      <c r="A54" s="37" t="s">
        <v>238</v>
      </c>
      <c r="B54" s="44" t="s">
        <v>142</v>
      </c>
      <c r="C54" s="44">
        <v>13</v>
      </c>
      <c r="D54" s="44" t="s">
        <v>239</v>
      </c>
      <c r="E54" s="60">
        <f t="shared" si="0"/>
        <v>0.9427287640364086</v>
      </c>
      <c r="F54" s="373"/>
      <c r="Q54" s="93" t="s">
        <v>383</v>
      </c>
      <c r="R54" s="94">
        <v>0.64890043729006908</v>
      </c>
      <c r="S54" s="93" t="s">
        <v>204</v>
      </c>
      <c r="W54" s="37" t="s">
        <v>408</v>
      </c>
      <c r="X54" s="44" t="s">
        <v>140</v>
      </c>
      <c r="Y54" s="44">
        <v>15</v>
      </c>
      <c r="Z54" s="44" t="s">
        <v>451</v>
      </c>
      <c r="AA54" s="70">
        <v>0.7469877361024081</v>
      </c>
    </row>
    <row r="55" spans="1:27" ht="13.9">
      <c r="A55" s="37" t="s">
        <v>245</v>
      </c>
      <c r="B55" s="44" t="s">
        <v>142</v>
      </c>
      <c r="C55" s="44">
        <v>13</v>
      </c>
      <c r="D55" s="44" t="s">
        <v>246</v>
      </c>
      <c r="E55" s="60">
        <f t="shared" si="0"/>
        <v>0.70643925978729205</v>
      </c>
      <c r="F55" s="373"/>
      <c r="Q55" s="93" t="s">
        <v>286</v>
      </c>
      <c r="R55" s="94">
        <v>1</v>
      </c>
      <c r="S55" s="93" t="s">
        <v>203</v>
      </c>
      <c r="W55" s="37" t="s">
        <v>249</v>
      </c>
      <c r="X55" s="44" t="s">
        <v>141</v>
      </c>
      <c r="Y55" s="44">
        <v>14</v>
      </c>
      <c r="Z55" s="44" t="s">
        <v>250</v>
      </c>
      <c r="AA55" s="70">
        <v>0.72270267536539723</v>
      </c>
    </row>
    <row r="56" spans="1:27" ht="13.9">
      <c r="A56" s="37" t="s">
        <v>256</v>
      </c>
      <c r="B56" s="44" t="s">
        <v>142</v>
      </c>
      <c r="C56" s="44">
        <v>13</v>
      </c>
      <c r="D56" s="44" t="s">
        <v>257</v>
      </c>
      <c r="E56" s="60">
        <f t="shared" si="0"/>
        <v>0.90135028841111697</v>
      </c>
      <c r="F56" s="373"/>
      <c r="Q56" s="93" t="s">
        <v>244</v>
      </c>
      <c r="R56" s="94">
        <v>0.42404692082111439</v>
      </c>
      <c r="S56" s="93" t="s">
        <v>194</v>
      </c>
      <c r="W56" s="37" t="s">
        <v>245</v>
      </c>
      <c r="X56" s="44" t="s">
        <v>142</v>
      </c>
      <c r="Y56" s="44">
        <v>13</v>
      </c>
      <c r="Z56" s="44" t="s">
        <v>246</v>
      </c>
      <c r="AA56" s="70">
        <v>0.70643925978729205</v>
      </c>
    </row>
    <row r="57" spans="1:27" ht="13.9">
      <c r="A57" s="73" t="s">
        <v>463</v>
      </c>
      <c r="B57" s="44" t="s">
        <v>142</v>
      </c>
      <c r="C57" s="44">
        <v>13</v>
      </c>
      <c r="D57" s="44" t="s">
        <v>452</v>
      </c>
      <c r="E57" s="69">
        <f>VLOOKUP($D57,$Q$7:$R$75,2,0)</f>
        <v>0.27216238256230779</v>
      </c>
      <c r="F57" s="373"/>
      <c r="Q57" s="93" t="s">
        <v>456</v>
      </c>
      <c r="R57" s="94">
        <v>0.99417211067658851</v>
      </c>
      <c r="S57" s="93" t="s">
        <v>203</v>
      </c>
      <c r="W57" s="37" t="s">
        <v>275</v>
      </c>
      <c r="X57" s="44" t="s">
        <v>141</v>
      </c>
      <c r="Y57" s="44">
        <v>14</v>
      </c>
      <c r="Z57" s="44" t="s">
        <v>276</v>
      </c>
      <c r="AA57" s="70">
        <v>0.66983442164179108</v>
      </c>
    </row>
    <row r="58" spans="1:27" ht="13.9">
      <c r="A58" s="37" t="s">
        <v>449</v>
      </c>
      <c r="B58" s="44" t="s">
        <v>142</v>
      </c>
      <c r="C58" s="44">
        <v>13</v>
      </c>
      <c r="D58" s="44" t="s">
        <v>450</v>
      </c>
      <c r="E58" s="60" t="s">
        <v>423</v>
      </c>
      <c r="F58" s="373"/>
      <c r="Q58" s="93" t="s">
        <v>348</v>
      </c>
      <c r="R58" s="94">
        <v>0.77327600463039525</v>
      </c>
      <c r="S58" s="93" t="s">
        <v>204</v>
      </c>
      <c r="W58" s="37" t="s">
        <v>395</v>
      </c>
      <c r="X58" s="44" t="s">
        <v>140</v>
      </c>
      <c r="Y58" s="44">
        <v>15</v>
      </c>
      <c r="Z58" s="44" t="s">
        <v>396</v>
      </c>
      <c r="AA58" s="70">
        <v>0.66731657086909912</v>
      </c>
    </row>
    <row r="59" spans="1:27" ht="13.9">
      <c r="A59" s="37" t="s">
        <v>265</v>
      </c>
      <c r="B59" s="44" t="s">
        <v>142</v>
      </c>
      <c r="C59" s="44">
        <v>13</v>
      </c>
      <c r="D59" s="44" t="s">
        <v>266</v>
      </c>
      <c r="E59" s="60">
        <f t="shared" si="0"/>
        <v>0.78356336260978665</v>
      </c>
      <c r="F59" s="373"/>
      <c r="Q59" s="93" t="s">
        <v>294</v>
      </c>
      <c r="R59" s="94">
        <v>0.93000422702993502</v>
      </c>
      <c r="S59" s="93" t="s">
        <v>203</v>
      </c>
      <c r="W59" s="37" t="s">
        <v>382</v>
      </c>
      <c r="X59" s="44" t="s">
        <v>141</v>
      </c>
      <c r="Y59" s="44">
        <v>14</v>
      </c>
      <c r="Z59" s="44" t="s">
        <v>383</v>
      </c>
      <c r="AA59" s="70">
        <v>0.64890043729006908</v>
      </c>
    </row>
    <row r="60" spans="1:27" ht="13.9">
      <c r="A60" s="37" t="s">
        <v>367</v>
      </c>
      <c r="B60" s="44" t="s">
        <v>142</v>
      </c>
      <c r="C60" s="44">
        <v>13</v>
      </c>
      <c r="D60" s="44" t="s">
        <v>368</v>
      </c>
      <c r="E60" s="60">
        <f t="shared" si="0"/>
        <v>1.0293089747728885</v>
      </c>
      <c r="F60" s="373"/>
      <c r="Q60" s="93" t="s">
        <v>292</v>
      </c>
      <c r="R60" s="94">
        <v>0.614337822671156</v>
      </c>
      <c r="S60" s="93" t="s">
        <v>204</v>
      </c>
      <c r="W60" s="37" t="s">
        <v>299</v>
      </c>
      <c r="X60" s="44" t="s">
        <v>142</v>
      </c>
      <c r="Y60" s="44">
        <v>13</v>
      </c>
      <c r="Z60" s="44" t="s">
        <v>300</v>
      </c>
      <c r="AA60" s="70">
        <v>0.63819230650865855</v>
      </c>
    </row>
    <row r="61" spans="1:27" ht="13.9">
      <c r="A61" s="37" t="s">
        <v>287</v>
      </c>
      <c r="B61" s="44" t="s">
        <v>142</v>
      </c>
      <c r="C61" s="44">
        <v>13</v>
      </c>
      <c r="D61" s="44" t="s">
        <v>441</v>
      </c>
      <c r="E61" s="60">
        <f t="shared" si="0"/>
        <v>1</v>
      </c>
      <c r="F61" s="373"/>
      <c r="Q61" s="93" t="s">
        <v>375</v>
      </c>
      <c r="R61" s="94">
        <v>0.90975829351063098</v>
      </c>
      <c r="S61" s="93" t="s">
        <v>203</v>
      </c>
      <c r="W61" s="37" t="s">
        <v>465</v>
      </c>
      <c r="X61" s="44" t="s">
        <v>142</v>
      </c>
      <c r="Y61" s="44">
        <v>13</v>
      </c>
      <c r="Z61" s="44" t="s">
        <v>448</v>
      </c>
      <c r="AA61" s="70">
        <v>0.62875460562079877</v>
      </c>
    </row>
    <row r="62" spans="1:27" ht="13.9">
      <c r="A62" s="37" t="s">
        <v>273</v>
      </c>
      <c r="B62" s="44" t="s">
        <v>142</v>
      </c>
      <c r="C62" s="44">
        <v>13</v>
      </c>
      <c r="D62" s="44" t="s">
        <v>274</v>
      </c>
      <c r="E62" s="60">
        <f t="shared" si="0"/>
        <v>0.58034319753835939</v>
      </c>
      <c r="F62" s="373"/>
      <c r="Q62" s="93" t="s">
        <v>396</v>
      </c>
      <c r="R62" s="94">
        <v>0.66731657086909912</v>
      </c>
      <c r="S62" s="93" t="s">
        <v>204</v>
      </c>
      <c r="W62" s="37" t="s">
        <v>291</v>
      </c>
      <c r="X62" s="44" t="s">
        <v>140</v>
      </c>
      <c r="Y62" s="44">
        <v>15</v>
      </c>
      <c r="Z62" s="44" t="s">
        <v>292</v>
      </c>
      <c r="AA62" s="70">
        <v>0.614337822671156</v>
      </c>
    </row>
    <row r="63" spans="1:27" ht="13.9">
      <c r="A63" s="37" t="s">
        <v>299</v>
      </c>
      <c r="B63" s="44" t="s">
        <v>142</v>
      </c>
      <c r="C63" s="44">
        <v>13</v>
      </c>
      <c r="D63" s="44" t="s">
        <v>300</v>
      </c>
      <c r="E63" s="60">
        <f t="shared" si="0"/>
        <v>0.63819230650865855</v>
      </c>
      <c r="F63" s="373"/>
      <c r="Q63" s="93" t="s">
        <v>390</v>
      </c>
      <c r="R63" s="94">
        <v>0.9915841495030967</v>
      </c>
      <c r="S63" s="93" t="s">
        <v>203</v>
      </c>
      <c r="W63" s="37" t="s">
        <v>269</v>
      </c>
      <c r="X63" s="44" t="s">
        <v>141</v>
      </c>
      <c r="Y63" s="44">
        <v>14</v>
      </c>
      <c r="Z63" s="44" t="s">
        <v>270</v>
      </c>
      <c r="AA63" s="70">
        <v>0.60422936152907691</v>
      </c>
    </row>
    <row r="64" spans="1:27" ht="13.9">
      <c r="A64" s="37" t="s">
        <v>281</v>
      </c>
      <c r="B64" s="44" t="s">
        <v>142</v>
      </c>
      <c r="C64" s="44">
        <v>13</v>
      </c>
      <c r="D64" s="44" t="s">
        <v>282</v>
      </c>
      <c r="E64" s="60">
        <f t="shared" si="0"/>
        <v>0.97501693766937669</v>
      </c>
      <c r="F64" s="373"/>
      <c r="Q64" s="93" t="s">
        <v>459</v>
      </c>
      <c r="R64" s="94">
        <v>0.97028603165787286</v>
      </c>
      <c r="S64" s="93" t="s">
        <v>203</v>
      </c>
      <c r="W64" s="37" t="s">
        <v>361</v>
      </c>
      <c r="X64" s="44" t="s">
        <v>139</v>
      </c>
      <c r="Y64" s="44">
        <v>16</v>
      </c>
      <c r="Z64" s="44" t="s">
        <v>194</v>
      </c>
      <c r="AA64" s="70">
        <v>0.58142655748172922</v>
      </c>
    </row>
    <row r="65" spans="1:27" ht="13.9">
      <c r="A65" s="37" t="s">
        <v>354</v>
      </c>
      <c r="B65" s="44" t="s">
        <v>142</v>
      </c>
      <c r="C65" s="44">
        <v>13</v>
      </c>
      <c r="D65" s="44" t="s">
        <v>355</v>
      </c>
      <c r="E65" s="60">
        <f t="shared" si="0"/>
        <v>1</v>
      </c>
      <c r="F65" s="373"/>
      <c r="Q65" s="93" t="s">
        <v>296</v>
      </c>
      <c r="R65" s="94">
        <v>0.98634859349145065</v>
      </c>
      <c r="S65" s="93" t="s">
        <v>203</v>
      </c>
      <c r="W65" s="37" t="s">
        <v>273</v>
      </c>
      <c r="X65" s="44" t="s">
        <v>142</v>
      </c>
      <c r="Y65" s="44">
        <v>13</v>
      </c>
      <c r="Z65" s="44" t="s">
        <v>274</v>
      </c>
      <c r="AA65" s="70">
        <v>0.58034319753835939</v>
      </c>
    </row>
    <row r="66" spans="1:27" ht="13.9">
      <c r="A66" s="45" t="s">
        <v>305</v>
      </c>
      <c r="B66" s="46" t="s">
        <v>173</v>
      </c>
      <c r="C66" s="46">
        <v>12</v>
      </c>
      <c r="D66" s="46" t="s">
        <v>456</v>
      </c>
      <c r="E66" s="61">
        <f t="shared" si="0"/>
        <v>0.99417211067658851</v>
      </c>
      <c r="F66" s="373"/>
      <c r="Q66" s="93" t="s">
        <v>346</v>
      </c>
      <c r="R66" s="94">
        <v>0.96644084643352246</v>
      </c>
      <c r="S66" s="93" t="s">
        <v>203</v>
      </c>
      <c r="W66" s="37" t="s">
        <v>289</v>
      </c>
      <c r="X66" s="44" t="s">
        <v>141</v>
      </c>
      <c r="Y66" s="44">
        <v>14</v>
      </c>
      <c r="Z66" s="44" t="s">
        <v>290</v>
      </c>
      <c r="AA66" s="70">
        <v>0.57546119039331711</v>
      </c>
    </row>
    <row r="67" spans="1:27" ht="13.9">
      <c r="A67" s="37" t="s">
        <v>411</v>
      </c>
      <c r="B67" s="44" t="s">
        <v>175</v>
      </c>
      <c r="C67" s="44">
        <v>11</v>
      </c>
      <c r="D67" s="44" t="s">
        <v>412</v>
      </c>
      <c r="E67" s="60">
        <f t="shared" si="0"/>
        <v>0.99872589064335693</v>
      </c>
      <c r="F67" s="373"/>
      <c r="Q67" s="93" t="s">
        <v>248</v>
      </c>
      <c r="R67" s="94">
        <v>0.84932154135723226</v>
      </c>
      <c r="S67" s="93" t="s">
        <v>203</v>
      </c>
      <c r="W67" s="37" t="s">
        <v>479</v>
      </c>
      <c r="X67" s="44" t="s">
        <v>166</v>
      </c>
      <c r="Y67" s="44">
        <v>17</v>
      </c>
      <c r="Z67" s="44" t="s">
        <v>241</v>
      </c>
      <c r="AA67" s="70">
        <v>0.55330389203021169</v>
      </c>
    </row>
    <row r="68" spans="1:27" ht="13.9">
      <c r="A68" s="37" t="s">
        <v>303</v>
      </c>
      <c r="B68" s="44" t="s">
        <v>177</v>
      </c>
      <c r="C68" s="44">
        <v>10</v>
      </c>
      <c r="D68" s="44" t="s">
        <v>304</v>
      </c>
      <c r="E68" s="60">
        <f t="shared" si="0"/>
        <v>0.89259170051200387</v>
      </c>
      <c r="F68" s="373"/>
      <c r="G68" s="122"/>
      <c r="Q68" s="93" t="s">
        <v>355</v>
      </c>
      <c r="R68" s="94">
        <v>1</v>
      </c>
      <c r="S68" s="93" t="s">
        <v>203</v>
      </c>
      <c r="W68" s="37" t="s">
        <v>279</v>
      </c>
      <c r="X68" s="44" t="s">
        <v>141</v>
      </c>
      <c r="Y68" s="44">
        <v>14</v>
      </c>
      <c r="Z68" s="44" t="s">
        <v>280</v>
      </c>
      <c r="AA68" s="70">
        <v>0.44575810739314115</v>
      </c>
    </row>
    <row r="69" spans="1:27" ht="14.45" thickBot="1">
      <c r="A69" s="89" t="s">
        <v>371</v>
      </c>
      <c r="B69" s="90" t="s">
        <v>183</v>
      </c>
      <c r="C69" s="90">
        <v>7</v>
      </c>
      <c r="D69" s="90" t="s">
        <v>457</v>
      </c>
      <c r="E69" s="91">
        <f t="shared" ref="E69:E75" si="5">VLOOKUP($D69,$Q$7:$R$75,2,0)</f>
        <v>0.27230062686467099</v>
      </c>
      <c r="F69" s="373"/>
      <c r="Q69" s="93" t="s">
        <v>252</v>
      </c>
      <c r="R69" s="94">
        <v>0.94699999999999995</v>
      </c>
      <c r="S69" s="93" t="s">
        <v>203</v>
      </c>
      <c r="W69" s="37" t="s">
        <v>243</v>
      </c>
      <c r="X69" s="44" t="s">
        <v>141</v>
      </c>
      <c r="Y69" s="44">
        <v>14</v>
      </c>
      <c r="Z69" s="44" t="s">
        <v>244</v>
      </c>
      <c r="AA69" s="70">
        <v>0.42404692082111439</v>
      </c>
    </row>
    <row r="70" spans="1:27" ht="13.9">
      <c r="A70" s="37" t="s">
        <v>464</v>
      </c>
      <c r="B70" s="44" t="s">
        <v>162</v>
      </c>
      <c r="C70" s="44">
        <v>19</v>
      </c>
      <c r="D70" s="44" t="s">
        <v>461</v>
      </c>
      <c r="E70" s="60">
        <f>VLOOKUP($D70,$Q$7:$R$75,2,0)</f>
        <v>0.77794419936265724</v>
      </c>
      <c r="F70" s="373"/>
      <c r="G70" s="122"/>
      <c r="Q70" s="49"/>
      <c r="R70" s="58"/>
      <c r="S70" s="49"/>
      <c r="W70" s="37" t="s">
        <v>271</v>
      </c>
      <c r="X70" s="44" t="s">
        <v>140</v>
      </c>
      <c r="Y70" s="44">
        <v>15</v>
      </c>
      <c r="Z70" s="44" t="s">
        <v>272</v>
      </c>
      <c r="AA70" s="70">
        <v>0.36017814864816144</v>
      </c>
    </row>
    <row r="71" spans="1:27" ht="13.9">
      <c r="A71" s="37" t="s">
        <v>462</v>
      </c>
      <c r="B71" s="44" t="s">
        <v>166</v>
      </c>
      <c r="C71" s="44">
        <v>17</v>
      </c>
      <c r="D71" s="44" t="s">
        <v>453</v>
      </c>
      <c r="E71" s="60">
        <f>VLOOKUP($D71,$Q$7:$R$75,2,0)</f>
        <v>0.87497195036407094</v>
      </c>
      <c r="F71" s="373"/>
      <c r="Q71" s="49"/>
      <c r="R71" s="58"/>
      <c r="S71" s="49"/>
      <c r="W71" s="37" t="s">
        <v>371</v>
      </c>
      <c r="X71" s="44" t="s">
        <v>183</v>
      </c>
      <c r="Y71" s="44">
        <v>7</v>
      </c>
      <c r="Z71" s="44" t="s">
        <v>457</v>
      </c>
      <c r="AA71" s="70">
        <v>0.27230062686467099</v>
      </c>
    </row>
    <row r="72" spans="1:27" ht="13.9">
      <c r="A72" s="37" t="s">
        <v>458</v>
      </c>
      <c r="B72" s="44" t="s">
        <v>173</v>
      </c>
      <c r="C72" s="44">
        <v>12</v>
      </c>
      <c r="D72" s="44" t="s">
        <v>459</v>
      </c>
      <c r="E72" s="69">
        <f>VLOOKUP($D72,$Q$7:$R$75,2,0)</f>
        <v>0.97028603165787286</v>
      </c>
      <c r="F72" s="373"/>
      <c r="Q72" s="49"/>
      <c r="R72" s="58"/>
      <c r="S72" s="49"/>
      <c r="W72" s="37" t="s">
        <v>463</v>
      </c>
      <c r="X72" s="44" t="s">
        <v>142</v>
      </c>
      <c r="Y72" s="44">
        <v>13</v>
      </c>
      <c r="Z72" s="44" t="s">
        <v>452</v>
      </c>
      <c r="AA72" s="70">
        <v>0.27216238256230779</v>
      </c>
    </row>
    <row r="73" spans="1:27" ht="13.9">
      <c r="A73" s="83" t="s">
        <v>424</v>
      </c>
      <c r="B73" s="47" t="s">
        <v>423</v>
      </c>
      <c r="C73" s="47"/>
      <c r="D73" s="44" t="s">
        <v>425</v>
      </c>
      <c r="E73" s="69">
        <f>VLOOKUP($D73,$Q$7:$R$75,2,0)</f>
        <v>0.99675869094774683</v>
      </c>
      <c r="F73" s="5"/>
      <c r="Q73" s="49"/>
      <c r="R73" s="58"/>
      <c r="S73" s="49"/>
      <c r="W73" s="37" t="s">
        <v>424</v>
      </c>
      <c r="X73" s="47" t="s">
        <v>423</v>
      </c>
      <c r="Y73" s="47"/>
      <c r="Z73" s="44" t="s">
        <v>425</v>
      </c>
      <c r="AA73" s="70">
        <v>0.99675869094774683</v>
      </c>
    </row>
    <row r="74" spans="1:27" ht="13.9">
      <c r="A74" s="37" t="s">
        <v>480</v>
      </c>
      <c r="B74" s="47" t="s">
        <v>423</v>
      </c>
      <c r="C74" s="47"/>
      <c r="D74" s="47" t="s">
        <v>476</v>
      </c>
      <c r="E74" s="62">
        <f t="shared" si="5"/>
        <v>0.98237685298627964</v>
      </c>
      <c r="F74" s="5"/>
      <c r="Q74" s="49"/>
      <c r="R74" s="58"/>
      <c r="S74" s="49"/>
      <c r="W74" s="37" t="s">
        <v>480</v>
      </c>
      <c r="X74" s="47" t="s">
        <v>423</v>
      </c>
      <c r="Y74" s="47"/>
      <c r="Z74" s="47" t="s">
        <v>476</v>
      </c>
      <c r="AA74" s="71">
        <v>0.98237685298627964</v>
      </c>
    </row>
    <row r="75" spans="1:27" ht="14.45" thickBot="1">
      <c r="A75" s="53" t="s">
        <v>295</v>
      </c>
      <c r="B75" s="54" t="s">
        <v>423</v>
      </c>
      <c r="C75" s="54"/>
      <c r="D75" s="54" t="s">
        <v>296</v>
      </c>
      <c r="E75" s="63">
        <f t="shared" si="5"/>
        <v>0.98634859349145065</v>
      </c>
      <c r="F75" s="5"/>
      <c r="Q75" s="49"/>
      <c r="R75" s="58"/>
      <c r="S75" s="49"/>
      <c r="W75" s="53" t="s">
        <v>295</v>
      </c>
      <c r="X75" s="54" t="s">
        <v>423</v>
      </c>
      <c r="Y75" s="54"/>
      <c r="Z75" s="54" t="s">
        <v>296</v>
      </c>
      <c r="AA75" s="72">
        <v>0.98634859349145065</v>
      </c>
    </row>
    <row r="76" spans="1:27" ht="13.9">
      <c r="A76" s="41" t="s">
        <v>311</v>
      </c>
      <c r="B76" s="43" t="s">
        <v>141</v>
      </c>
      <c r="C76" s="42">
        <f>AVERAGE(C7:C69)</f>
        <v>14.174603174603174</v>
      </c>
      <c r="D76" s="42"/>
      <c r="E76" s="42"/>
      <c r="F76" s="5"/>
      <c r="Q76" s="49"/>
      <c r="R76" s="59"/>
      <c r="S76" s="49"/>
    </row>
    <row r="77" spans="1:27">
      <c r="A77" s="3"/>
      <c r="B77" s="3"/>
      <c r="F77" s="9"/>
    </row>
    <row r="78" spans="1:27">
      <c r="A78" s="3"/>
      <c r="B78" s="3"/>
      <c r="F78" s="9"/>
    </row>
    <row r="79" spans="1:27">
      <c r="A79" s="48" t="s">
        <v>312</v>
      </c>
      <c r="F79" s="9"/>
      <c r="G79" s="86"/>
    </row>
    <row r="80" spans="1:27" s="86" customFormat="1">
      <c r="A80" s="48" t="s">
        <v>313</v>
      </c>
      <c r="F80" s="87"/>
      <c r="AA80" s="88"/>
    </row>
    <row r="81" spans="1:27" s="86" customFormat="1">
      <c r="A81" s="85" t="s">
        <v>419</v>
      </c>
      <c r="F81" s="87"/>
      <c r="AA81" s="88"/>
    </row>
    <row r="82" spans="1:27" s="86" customFormat="1">
      <c r="A82" s="85" t="s">
        <v>314</v>
      </c>
      <c r="F82" s="87"/>
      <c r="G82"/>
      <c r="AA82" s="88"/>
    </row>
    <row r="83" spans="1:27">
      <c r="A83" s="85" t="s">
        <v>466</v>
      </c>
      <c r="D83" s="9"/>
      <c r="AA83"/>
    </row>
    <row r="84" spans="1:27">
      <c r="A84" s="48" t="s">
        <v>315</v>
      </c>
      <c r="D84" s="9"/>
      <c r="AA84"/>
    </row>
    <row r="85" spans="1:27">
      <c r="A85" s="48" t="s">
        <v>481</v>
      </c>
      <c r="D85" s="9"/>
      <c r="AA85"/>
    </row>
    <row r="86" spans="1:27">
      <c r="A86" s="48" t="s">
        <v>482</v>
      </c>
      <c r="F86" s="9"/>
    </row>
    <row r="87" spans="1:27">
      <c r="A87" s="2"/>
      <c r="E87" s="74"/>
    </row>
    <row r="88" spans="1:27">
      <c r="E88" s="74"/>
    </row>
    <row r="89" spans="1:27">
      <c r="E89" s="75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3">
    <tabColor rgb="FF0070C0"/>
    <pageSetUpPr fitToPage="1"/>
  </sheetPr>
  <dimension ref="A1:M83"/>
  <sheetViews>
    <sheetView zoomScale="85" zoomScaleNormal="85" workbookViewId="0"/>
  </sheetViews>
  <sheetFormatPr defaultColWidth="9.140625" defaultRowHeight="13.15"/>
  <cols>
    <col min="1" max="1" width="35.140625" customWidth="1"/>
    <col min="5" max="5" width="11.5703125" customWidth="1"/>
    <col min="9" max="9" width="11" bestFit="1" customWidth="1"/>
    <col min="10" max="10" width="4.85546875" bestFit="1" customWidth="1"/>
  </cols>
  <sheetData>
    <row r="1" spans="1:13" ht="18">
      <c r="A1" s="40" t="s">
        <v>483</v>
      </c>
    </row>
    <row r="2" spans="1:13" ht="18">
      <c r="A2" s="40"/>
    </row>
    <row r="3" spans="1:13" ht="18">
      <c r="A3" s="40"/>
    </row>
    <row r="4" spans="1:13" ht="18">
      <c r="A4" s="40"/>
    </row>
    <row r="6" spans="1:13" ht="13.9">
      <c r="A6" s="38" t="s">
        <v>212</v>
      </c>
      <c r="B6" s="39" t="s">
        <v>484</v>
      </c>
      <c r="C6" s="14"/>
    </row>
    <row r="7" spans="1:13" ht="14.45" thickBot="1">
      <c r="A7" s="37" t="s">
        <v>431</v>
      </c>
      <c r="B7" s="44" t="s">
        <v>164</v>
      </c>
      <c r="C7" s="44">
        <v>18</v>
      </c>
      <c r="D7" s="373"/>
      <c r="E7" s="57" t="s">
        <v>210</v>
      </c>
      <c r="F7" s="57" t="s">
        <v>134</v>
      </c>
      <c r="G7" s="57" t="s">
        <v>135</v>
      </c>
      <c r="L7" s="122"/>
      <c r="M7" s="122"/>
    </row>
    <row r="8" spans="1:13" ht="13.9">
      <c r="A8" s="37" t="s">
        <v>462</v>
      </c>
      <c r="B8" s="44" t="s">
        <v>166</v>
      </c>
      <c r="C8" s="44">
        <v>17</v>
      </c>
      <c r="D8" s="373"/>
      <c r="E8" s="37" t="s">
        <v>137</v>
      </c>
      <c r="F8" s="49">
        <f>COUNTIF(C$7:C$75,"&gt;16")</f>
        <v>4</v>
      </c>
      <c r="G8" s="50">
        <f>F8/F$14</f>
        <v>6.1538461538461542E-2</v>
      </c>
      <c r="I8" s="122"/>
      <c r="K8" s="122"/>
      <c r="L8" s="122"/>
      <c r="M8" s="122"/>
    </row>
    <row r="9" spans="1:13" ht="13.9">
      <c r="A9" s="37" t="s">
        <v>479</v>
      </c>
      <c r="B9" s="44" t="s">
        <v>166</v>
      </c>
      <c r="C9" s="44">
        <v>17</v>
      </c>
      <c r="D9" s="373"/>
      <c r="E9" s="37" t="s">
        <v>139</v>
      </c>
      <c r="F9" s="49">
        <f>COUNTIF(C$7:C$75,"=16")</f>
        <v>9</v>
      </c>
      <c r="G9" s="50">
        <f t="shared" ref="G9:G14" si="0">F9/F$14</f>
        <v>0.13846153846153847</v>
      </c>
      <c r="I9" s="122"/>
      <c r="K9" s="122"/>
      <c r="L9" s="122"/>
      <c r="M9" s="122"/>
    </row>
    <row r="10" spans="1:13" ht="13.9">
      <c r="A10" s="37" t="s">
        <v>293</v>
      </c>
      <c r="B10" s="44" t="s">
        <v>166</v>
      </c>
      <c r="C10" s="44">
        <v>17</v>
      </c>
      <c r="D10" s="373"/>
      <c r="E10" s="37" t="s">
        <v>140</v>
      </c>
      <c r="F10" s="49">
        <f>COUNTIF(C$7:C$75,"=15")</f>
        <v>13</v>
      </c>
      <c r="G10" s="50">
        <f t="shared" si="0"/>
        <v>0.2</v>
      </c>
      <c r="I10" s="122"/>
      <c r="K10" s="122"/>
      <c r="L10" s="122"/>
      <c r="M10" s="122"/>
    </row>
    <row r="11" spans="1:13" ht="13.9">
      <c r="A11" s="45" t="s">
        <v>227</v>
      </c>
      <c r="B11" s="46" t="s">
        <v>139</v>
      </c>
      <c r="C11" s="46">
        <v>16</v>
      </c>
      <c r="D11" s="373"/>
      <c r="E11" s="37" t="s">
        <v>141</v>
      </c>
      <c r="F11" s="49">
        <f>COUNTIF(C$7:C$75,"=14")</f>
        <v>19</v>
      </c>
      <c r="G11" s="50">
        <f t="shared" si="0"/>
        <v>0.29230769230769232</v>
      </c>
      <c r="I11" s="122"/>
      <c r="K11" s="122"/>
      <c r="L11" s="122"/>
      <c r="M11" s="122"/>
    </row>
    <row r="12" spans="1:13" ht="13.9">
      <c r="A12" s="45" t="s">
        <v>361</v>
      </c>
      <c r="B12" s="46" t="s">
        <v>139</v>
      </c>
      <c r="C12" s="46">
        <v>16</v>
      </c>
      <c r="D12" s="373"/>
      <c r="E12" s="37" t="s">
        <v>142</v>
      </c>
      <c r="F12" s="49">
        <f>COUNTIF(C$7:C$75,"=13")</f>
        <v>14</v>
      </c>
      <c r="G12" s="50">
        <f t="shared" si="0"/>
        <v>0.2153846153846154</v>
      </c>
    </row>
    <row r="13" spans="1:13" ht="14.45" thickBot="1">
      <c r="A13" s="45" t="s">
        <v>263</v>
      </c>
      <c r="B13" s="46" t="s">
        <v>139</v>
      </c>
      <c r="C13" s="46">
        <v>16</v>
      </c>
      <c r="D13" s="373"/>
      <c r="E13" s="53" t="s">
        <v>143</v>
      </c>
      <c r="F13" s="55">
        <f>COUNTIF(C$7:C$75,"&lt;13")</f>
        <v>6</v>
      </c>
      <c r="G13" s="56">
        <f t="shared" si="0"/>
        <v>9.2307692307692313E-2</v>
      </c>
    </row>
    <row r="14" spans="1:13" ht="13.9">
      <c r="A14" s="45" t="s">
        <v>395</v>
      </c>
      <c r="B14" s="46" t="s">
        <v>139</v>
      </c>
      <c r="C14" s="46">
        <v>16</v>
      </c>
      <c r="D14" s="373"/>
      <c r="E14" s="41" t="s">
        <v>144</v>
      </c>
      <c r="F14" s="51">
        <f>SUM(F8:F13)</f>
        <v>65</v>
      </c>
      <c r="G14" s="52">
        <f t="shared" si="0"/>
        <v>1</v>
      </c>
    </row>
    <row r="15" spans="1:13" ht="13.9">
      <c r="A15" s="45" t="s">
        <v>437</v>
      </c>
      <c r="B15" s="46" t="s">
        <v>139</v>
      </c>
      <c r="C15" s="46">
        <v>16</v>
      </c>
      <c r="D15" s="373"/>
      <c r="I15" s="5"/>
    </row>
    <row r="16" spans="1:13" ht="13.9">
      <c r="A16" s="45" t="s">
        <v>408</v>
      </c>
      <c r="B16" s="46" t="s">
        <v>139</v>
      </c>
      <c r="C16" s="46">
        <v>16</v>
      </c>
      <c r="D16" s="373"/>
      <c r="I16" s="5"/>
    </row>
    <row r="17" spans="1:10" ht="13.9">
      <c r="A17" s="45" t="s">
        <v>439</v>
      </c>
      <c r="B17" s="46" t="s">
        <v>139</v>
      </c>
      <c r="C17" s="46">
        <v>16</v>
      </c>
      <c r="D17" s="373"/>
      <c r="I17" s="5"/>
    </row>
    <row r="18" spans="1:10" ht="13.9">
      <c r="A18" s="45" t="s">
        <v>347</v>
      </c>
      <c r="B18" s="46" t="s">
        <v>139</v>
      </c>
      <c r="C18" s="46">
        <v>16</v>
      </c>
      <c r="D18" s="373"/>
      <c r="I18" s="5"/>
    </row>
    <row r="19" spans="1:10" ht="13.9">
      <c r="A19" s="45" t="s">
        <v>345</v>
      </c>
      <c r="B19" s="46" t="s">
        <v>139</v>
      </c>
      <c r="C19" s="46">
        <v>16</v>
      </c>
      <c r="D19" s="373"/>
      <c r="I19" s="5"/>
    </row>
    <row r="20" spans="1:10" ht="13.9">
      <c r="A20" s="37" t="s">
        <v>217</v>
      </c>
      <c r="B20" s="44" t="s">
        <v>140</v>
      </c>
      <c r="C20" s="44">
        <v>15</v>
      </c>
      <c r="D20" s="373"/>
      <c r="I20" s="5"/>
    </row>
    <row r="21" spans="1:10" ht="13.9">
      <c r="A21" s="37" t="s">
        <v>219</v>
      </c>
      <c r="B21" s="44" t="s">
        <v>140</v>
      </c>
      <c r="C21" s="44">
        <v>15</v>
      </c>
      <c r="D21" s="373"/>
    </row>
    <row r="22" spans="1:10" ht="13.9">
      <c r="A22" s="37" t="s">
        <v>460</v>
      </c>
      <c r="B22" s="44" t="s">
        <v>140</v>
      </c>
      <c r="C22" s="44">
        <v>15</v>
      </c>
      <c r="D22" s="373"/>
    </row>
    <row r="23" spans="1:10" ht="13.9">
      <c r="A23" s="37" t="s">
        <v>442</v>
      </c>
      <c r="B23" s="44" t="s">
        <v>140</v>
      </c>
      <c r="C23" s="44">
        <v>15</v>
      </c>
      <c r="D23" s="373"/>
    </row>
    <row r="24" spans="1:10" ht="13.9">
      <c r="A24" s="37" t="s">
        <v>444</v>
      </c>
      <c r="B24" s="44" t="s">
        <v>140</v>
      </c>
      <c r="C24" s="44">
        <v>15</v>
      </c>
      <c r="D24" s="373"/>
    </row>
    <row r="25" spans="1:10" ht="13.9">
      <c r="A25" s="37" t="s">
        <v>271</v>
      </c>
      <c r="B25" s="44" t="s">
        <v>140</v>
      </c>
      <c r="C25" s="44">
        <v>15</v>
      </c>
      <c r="D25" s="373"/>
    </row>
    <row r="26" spans="1:10" ht="13.9">
      <c r="A26" s="37" t="s">
        <v>277</v>
      </c>
      <c r="B26" s="44" t="s">
        <v>140</v>
      </c>
      <c r="C26" s="44">
        <v>15</v>
      </c>
      <c r="D26" s="373"/>
    </row>
    <row r="27" spans="1:10" ht="13.9">
      <c r="A27" s="37" t="s">
        <v>485</v>
      </c>
      <c r="B27" s="44" t="s">
        <v>140</v>
      </c>
      <c r="C27" s="44">
        <v>15</v>
      </c>
      <c r="D27" s="373"/>
    </row>
    <row r="28" spans="1:10" ht="13.9">
      <c r="A28" s="37" t="s">
        <v>285</v>
      </c>
      <c r="B28" s="44" t="s">
        <v>140</v>
      </c>
      <c r="C28" s="44">
        <v>15</v>
      </c>
      <c r="D28" s="373"/>
    </row>
    <row r="29" spans="1:10" ht="13.9">
      <c r="A29" s="37" t="s">
        <v>427</v>
      </c>
      <c r="B29" s="44" t="s">
        <v>140</v>
      </c>
      <c r="C29" s="44">
        <v>15</v>
      </c>
      <c r="D29" s="373"/>
    </row>
    <row r="30" spans="1:10" ht="13.9">
      <c r="A30" s="37" t="s">
        <v>291</v>
      </c>
      <c r="B30" s="44" t="s">
        <v>140</v>
      </c>
      <c r="C30" s="44">
        <v>15</v>
      </c>
      <c r="D30" s="373"/>
    </row>
    <row r="31" spans="1:10" ht="13.9">
      <c r="A31" s="37" t="s">
        <v>247</v>
      </c>
      <c r="B31" s="44" t="s">
        <v>140</v>
      </c>
      <c r="C31" s="44">
        <v>15</v>
      </c>
      <c r="D31" s="373"/>
      <c r="I31" s="122"/>
      <c r="J31" s="122"/>
    </row>
    <row r="32" spans="1:10" ht="13.9">
      <c r="A32" s="37" t="s">
        <v>251</v>
      </c>
      <c r="B32" s="44" t="s">
        <v>140</v>
      </c>
      <c r="C32" s="44">
        <v>15</v>
      </c>
      <c r="D32" s="373"/>
      <c r="J32" s="122"/>
    </row>
    <row r="33" spans="1:10" ht="13.9">
      <c r="A33" s="45" t="s">
        <v>222</v>
      </c>
      <c r="B33" s="46" t="s">
        <v>141</v>
      </c>
      <c r="C33" s="46">
        <v>14</v>
      </c>
      <c r="D33" s="373"/>
      <c r="J33" s="122"/>
    </row>
    <row r="34" spans="1:10" ht="13.9">
      <c r="A34" s="45" t="s">
        <v>249</v>
      </c>
      <c r="B34" s="46" t="s">
        <v>141</v>
      </c>
      <c r="C34" s="46">
        <v>14</v>
      </c>
      <c r="D34" s="373"/>
      <c r="J34" s="122"/>
    </row>
    <row r="35" spans="1:10" ht="13.9">
      <c r="A35" s="45" t="s">
        <v>254</v>
      </c>
      <c r="B35" s="46" t="s">
        <v>141</v>
      </c>
      <c r="C35" s="46">
        <v>14</v>
      </c>
      <c r="D35" s="373"/>
      <c r="E35" s="49" t="s">
        <v>373</v>
      </c>
      <c r="J35" s="122"/>
    </row>
    <row r="36" spans="1:10" ht="13.9">
      <c r="A36" s="45" t="s">
        <v>463</v>
      </c>
      <c r="B36" s="46" t="s">
        <v>141</v>
      </c>
      <c r="C36" s="46">
        <v>14</v>
      </c>
      <c r="D36" s="373"/>
      <c r="F36" s="7"/>
      <c r="G36" s="7"/>
      <c r="J36" s="122"/>
    </row>
    <row r="37" spans="1:10" ht="13.9">
      <c r="A37" s="45" t="s">
        <v>259</v>
      </c>
      <c r="B37" s="46" t="s">
        <v>141</v>
      </c>
      <c r="C37" s="46">
        <v>14</v>
      </c>
      <c r="D37" s="373"/>
      <c r="F37" s="5"/>
      <c r="H37" s="7"/>
    </row>
    <row r="38" spans="1:10" ht="13.9">
      <c r="A38" s="45" t="s">
        <v>261</v>
      </c>
      <c r="B38" s="46" t="s">
        <v>141</v>
      </c>
      <c r="C38" s="46">
        <v>14</v>
      </c>
      <c r="D38" s="373"/>
      <c r="F38" s="5"/>
      <c r="H38" s="8"/>
    </row>
    <row r="39" spans="1:10" ht="13.9">
      <c r="A39" s="45" t="s">
        <v>328</v>
      </c>
      <c r="B39" s="46" t="s">
        <v>141</v>
      </c>
      <c r="C39" s="46">
        <v>14</v>
      </c>
      <c r="D39" s="373"/>
      <c r="F39" s="5"/>
      <c r="H39" s="8"/>
    </row>
    <row r="40" spans="1:10" ht="13.9">
      <c r="A40" s="45" t="s">
        <v>267</v>
      </c>
      <c r="B40" s="46" t="s">
        <v>141</v>
      </c>
      <c r="C40" s="46">
        <v>14</v>
      </c>
      <c r="D40" s="373"/>
      <c r="F40" s="5"/>
      <c r="H40" s="8"/>
    </row>
    <row r="41" spans="1:10" ht="13.9">
      <c r="A41" s="45" t="s">
        <v>269</v>
      </c>
      <c r="B41" s="46" t="s">
        <v>141</v>
      </c>
      <c r="C41" s="46">
        <v>14</v>
      </c>
      <c r="D41" s="373"/>
      <c r="F41" s="5"/>
      <c r="H41" s="8"/>
    </row>
    <row r="42" spans="1:10" ht="13.9">
      <c r="A42" s="45" t="s">
        <v>275</v>
      </c>
      <c r="B42" s="46" t="s">
        <v>141</v>
      </c>
      <c r="C42" s="46">
        <v>14</v>
      </c>
      <c r="D42" s="373"/>
      <c r="F42" s="5"/>
      <c r="H42" s="8"/>
    </row>
    <row r="43" spans="1:10" ht="13.9">
      <c r="A43" s="45" t="s">
        <v>352</v>
      </c>
      <c r="B43" s="46" t="s">
        <v>141</v>
      </c>
      <c r="C43" s="46">
        <v>14</v>
      </c>
      <c r="D43" s="373"/>
    </row>
    <row r="44" spans="1:10" ht="13.9">
      <c r="A44" s="45" t="s">
        <v>446</v>
      </c>
      <c r="B44" s="46" t="s">
        <v>141</v>
      </c>
      <c r="C44" s="46">
        <v>14</v>
      </c>
      <c r="D44" s="373"/>
    </row>
    <row r="45" spans="1:10" ht="13.9">
      <c r="A45" s="45" t="s">
        <v>279</v>
      </c>
      <c r="B45" s="46" t="s">
        <v>141</v>
      </c>
      <c r="C45" s="46">
        <v>14</v>
      </c>
      <c r="D45" s="373"/>
    </row>
    <row r="46" spans="1:10" ht="13.9">
      <c r="A46" s="45" t="s">
        <v>283</v>
      </c>
      <c r="B46" s="46" t="s">
        <v>141</v>
      </c>
      <c r="C46" s="46">
        <v>14</v>
      </c>
      <c r="D46" s="373"/>
      <c r="H46" s="122"/>
    </row>
    <row r="47" spans="1:10" ht="13.9">
      <c r="A47" s="45" t="s">
        <v>394</v>
      </c>
      <c r="B47" s="46" t="s">
        <v>141</v>
      </c>
      <c r="C47" s="46">
        <v>14</v>
      </c>
      <c r="D47" s="373"/>
      <c r="E47" s="122"/>
      <c r="G47" s="122"/>
      <c r="H47" s="122"/>
    </row>
    <row r="48" spans="1:10" ht="13.9">
      <c r="A48" s="45" t="s">
        <v>297</v>
      </c>
      <c r="B48" s="46" t="s">
        <v>141</v>
      </c>
      <c r="C48" s="46">
        <v>14</v>
      </c>
      <c r="D48" s="373"/>
      <c r="E48" s="122"/>
      <c r="G48" s="122"/>
      <c r="H48" s="122"/>
    </row>
    <row r="49" spans="1:8" ht="13.9">
      <c r="A49" s="45" t="s">
        <v>382</v>
      </c>
      <c r="B49" s="46" t="s">
        <v>141</v>
      </c>
      <c r="C49" s="46">
        <v>14</v>
      </c>
      <c r="D49" s="373"/>
      <c r="E49" s="122"/>
      <c r="G49" s="122"/>
      <c r="H49" s="122"/>
    </row>
    <row r="50" spans="1:8" ht="13.9">
      <c r="A50" s="45" t="s">
        <v>243</v>
      </c>
      <c r="B50" s="46" t="s">
        <v>141</v>
      </c>
      <c r="C50" s="46">
        <v>14</v>
      </c>
      <c r="D50" s="373"/>
      <c r="E50" s="122"/>
      <c r="G50" s="122"/>
      <c r="H50" s="122"/>
    </row>
    <row r="51" spans="1:8" ht="13.9">
      <c r="A51" s="45" t="s">
        <v>289</v>
      </c>
      <c r="B51" s="46" t="s">
        <v>141</v>
      </c>
      <c r="C51" s="46">
        <v>14</v>
      </c>
      <c r="D51" s="373"/>
      <c r="E51" s="122"/>
      <c r="G51" s="122"/>
      <c r="H51" s="122"/>
    </row>
    <row r="52" spans="1:8" ht="13.9">
      <c r="A52" s="37" t="s">
        <v>465</v>
      </c>
      <c r="B52" s="44" t="s">
        <v>142</v>
      </c>
      <c r="C52" s="44">
        <v>13</v>
      </c>
      <c r="D52" s="373"/>
    </row>
    <row r="53" spans="1:8" ht="13.9">
      <c r="A53" s="37" t="s">
        <v>225</v>
      </c>
      <c r="B53" s="44" t="s">
        <v>142</v>
      </c>
      <c r="C53" s="44">
        <v>13</v>
      </c>
      <c r="D53" s="373"/>
    </row>
    <row r="54" spans="1:8" ht="13.9">
      <c r="A54" s="37" t="s">
        <v>238</v>
      </c>
      <c r="B54" s="44" t="s">
        <v>142</v>
      </c>
      <c r="C54" s="44">
        <v>13</v>
      </c>
      <c r="D54" s="373"/>
    </row>
    <row r="55" spans="1:8" ht="13.9">
      <c r="A55" s="37" t="s">
        <v>245</v>
      </c>
      <c r="B55" s="44" t="s">
        <v>142</v>
      </c>
      <c r="C55" s="44">
        <v>13</v>
      </c>
      <c r="D55" s="373"/>
    </row>
    <row r="56" spans="1:8" ht="13.9">
      <c r="A56" s="37" t="s">
        <v>256</v>
      </c>
      <c r="B56" s="44" t="s">
        <v>142</v>
      </c>
      <c r="C56" s="44">
        <v>13</v>
      </c>
      <c r="D56" s="373"/>
    </row>
    <row r="57" spans="1:8" ht="13.9">
      <c r="A57" s="37" t="s">
        <v>449</v>
      </c>
      <c r="B57" s="44" t="s">
        <v>142</v>
      </c>
      <c r="C57" s="44">
        <v>13</v>
      </c>
      <c r="D57" s="373"/>
    </row>
    <row r="58" spans="1:8" ht="13.9">
      <c r="A58" s="37" t="s">
        <v>265</v>
      </c>
      <c r="B58" s="44" t="s">
        <v>142</v>
      </c>
      <c r="C58" s="44">
        <v>13</v>
      </c>
      <c r="D58" s="373"/>
    </row>
    <row r="59" spans="1:8" ht="13.9">
      <c r="A59" s="37" t="s">
        <v>367</v>
      </c>
      <c r="B59" s="44" t="s">
        <v>142</v>
      </c>
      <c r="C59" s="44">
        <v>13</v>
      </c>
      <c r="D59" s="373"/>
    </row>
    <row r="60" spans="1:8" ht="13.9">
      <c r="A60" s="37" t="s">
        <v>273</v>
      </c>
      <c r="B60" s="44" t="s">
        <v>142</v>
      </c>
      <c r="C60" s="44">
        <v>13</v>
      </c>
      <c r="D60" s="373"/>
    </row>
    <row r="61" spans="1:8" ht="13.9">
      <c r="A61" s="37" t="s">
        <v>299</v>
      </c>
      <c r="B61" s="44" t="s">
        <v>142</v>
      </c>
      <c r="C61" s="44">
        <v>13</v>
      </c>
      <c r="D61" s="373"/>
    </row>
    <row r="62" spans="1:8" ht="13.9">
      <c r="A62" s="37" t="s">
        <v>281</v>
      </c>
      <c r="B62" s="44" t="s">
        <v>142</v>
      </c>
      <c r="C62" s="44">
        <v>13</v>
      </c>
      <c r="D62" s="373"/>
    </row>
    <row r="63" spans="1:8" ht="13.9">
      <c r="A63" s="37" t="s">
        <v>305</v>
      </c>
      <c r="B63" s="44" t="s">
        <v>142</v>
      </c>
      <c r="C63" s="44">
        <v>13</v>
      </c>
      <c r="D63" s="373"/>
    </row>
    <row r="64" spans="1:8" ht="13.9">
      <c r="A64" s="37" t="s">
        <v>369</v>
      </c>
      <c r="B64" s="44" t="s">
        <v>142</v>
      </c>
      <c r="C64" s="44">
        <v>13</v>
      </c>
      <c r="D64" s="373"/>
    </row>
    <row r="65" spans="1:5" ht="13.9">
      <c r="A65" s="37" t="s">
        <v>354</v>
      </c>
      <c r="B65" s="44" t="s">
        <v>142</v>
      </c>
      <c r="C65" s="44">
        <v>13</v>
      </c>
      <c r="D65" s="373"/>
    </row>
    <row r="66" spans="1:5" ht="13.9">
      <c r="A66" s="45" t="s">
        <v>424</v>
      </c>
      <c r="B66" s="46" t="s">
        <v>173</v>
      </c>
      <c r="C66" s="46">
        <v>12</v>
      </c>
      <c r="D66" s="373"/>
    </row>
    <row r="67" spans="1:5" ht="13.9">
      <c r="A67" s="45" t="s">
        <v>287</v>
      </c>
      <c r="B67" s="46" t="s">
        <v>173</v>
      </c>
      <c r="C67" s="46">
        <v>12</v>
      </c>
      <c r="D67" s="373"/>
    </row>
    <row r="68" spans="1:5" ht="13.9">
      <c r="A68" s="45" t="s">
        <v>458</v>
      </c>
      <c r="B68" s="46" t="s">
        <v>173</v>
      </c>
      <c r="C68" s="46">
        <v>12</v>
      </c>
      <c r="D68" s="373"/>
    </row>
    <row r="69" spans="1:5" ht="13.9">
      <c r="A69" s="37" t="s">
        <v>486</v>
      </c>
      <c r="B69" s="44" t="s">
        <v>175</v>
      </c>
      <c r="C69" s="44">
        <v>11</v>
      </c>
      <c r="D69" s="373"/>
      <c r="E69" s="122"/>
    </row>
    <row r="70" spans="1:5" ht="13.9">
      <c r="A70" s="37" t="s">
        <v>303</v>
      </c>
      <c r="B70" s="44" t="s">
        <v>177</v>
      </c>
      <c r="C70" s="44">
        <v>10</v>
      </c>
      <c r="D70" s="373"/>
    </row>
    <row r="71" spans="1:5" ht="13.9">
      <c r="A71" s="37" t="s">
        <v>371</v>
      </c>
      <c r="B71" s="44" t="s">
        <v>183</v>
      </c>
      <c r="C71" s="44">
        <v>7</v>
      </c>
      <c r="D71" s="373"/>
      <c r="E71" s="122"/>
    </row>
    <row r="72" spans="1:5" ht="13.9">
      <c r="A72" s="37" t="s">
        <v>480</v>
      </c>
      <c r="B72" s="47" t="s">
        <v>487</v>
      </c>
      <c r="C72" s="47"/>
      <c r="D72" s="373"/>
    </row>
    <row r="73" spans="1:5" ht="13.9">
      <c r="A73" s="37" t="s">
        <v>308</v>
      </c>
      <c r="B73" s="47" t="s">
        <v>487</v>
      </c>
      <c r="C73" s="47"/>
      <c r="D73" s="5"/>
    </row>
    <row r="74" spans="1:5" ht="13.9">
      <c r="A74" s="37" t="s">
        <v>389</v>
      </c>
      <c r="B74" s="47" t="s">
        <v>487</v>
      </c>
      <c r="C74" s="47"/>
      <c r="D74" s="5"/>
    </row>
    <row r="75" spans="1:5" ht="14.45" thickBot="1">
      <c r="A75" s="53" t="s">
        <v>295</v>
      </c>
      <c r="B75" s="54" t="s">
        <v>487</v>
      </c>
      <c r="C75" s="54"/>
      <c r="D75" s="5"/>
    </row>
    <row r="76" spans="1:5" ht="13.9">
      <c r="A76" s="41" t="s">
        <v>311</v>
      </c>
      <c r="B76" s="43" t="s">
        <v>141</v>
      </c>
      <c r="C76" s="42">
        <f>AVERAGE(C7:C71)</f>
        <v>14.153846153846153</v>
      </c>
      <c r="D76" s="5"/>
    </row>
    <row r="77" spans="1:5">
      <c r="A77" s="3"/>
      <c r="B77" s="3"/>
      <c r="D77" s="9"/>
    </row>
    <row r="78" spans="1:5">
      <c r="A78" s="3"/>
      <c r="B78" s="3"/>
      <c r="D78" s="9"/>
    </row>
    <row r="79" spans="1:5">
      <c r="A79" s="48" t="s">
        <v>312</v>
      </c>
      <c r="D79" s="9"/>
    </row>
    <row r="80" spans="1:5">
      <c r="A80" s="48" t="s">
        <v>488</v>
      </c>
      <c r="D80" s="9"/>
    </row>
    <row r="81" spans="1:4">
      <c r="A81" s="48" t="s">
        <v>489</v>
      </c>
      <c r="D81" s="9"/>
    </row>
    <row r="82" spans="1:4">
      <c r="A82" s="48" t="s">
        <v>490</v>
      </c>
      <c r="D82" s="9"/>
    </row>
    <row r="83" spans="1:4">
      <c r="A83" s="2"/>
      <c r="D83" s="9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4">
    <tabColor rgb="FF002060"/>
    <pageSetUpPr fitToPage="1"/>
  </sheetPr>
  <dimension ref="A1:M84"/>
  <sheetViews>
    <sheetView zoomScale="85" zoomScaleNormal="85" workbookViewId="0"/>
  </sheetViews>
  <sheetFormatPr defaultColWidth="9.140625" defaultRowHeight="13.15"/>
  <cols>
    <col min="1" max="1" width="35.140625" customWidth="1"/>
    <col min="5" max="5" width="11.5703125" customWidth="1"/>
    <col min="9" max="9" width="11" bestFit="1" customWidth="1"/>
    <col min="10" max="10" width="4.85546875" bestFit="1" customWidth="1"/>
  </cols>
  <sheetData>
    <row r="1" spans="1:13" ht="18">
      <c r="A1" s="40" t="s">
        <v>491</v>
      </c>
    </row>
    <row r="2" spans="1:13" ht="18">
      <c r="A2" s="40"/>
    </row>
    <row r="3" spans="1:13" ht="18">
      <c r="A3" s="40"/>
    </row>
    <row r="4" spans="1:13" ht="18">
      <c r="A4" s="40"/>
    </row>
    <row r="6" spans="1:13" ht="13.9">
      <c r="A6" s="38" t="s">
        <v>212</v>
      </c>
      <c r="B6" s="39" t="s">
        <v>492</v>
      </c>
      <c r="C6" s="14"/>
    </row>
    <row r="7" spans="1:13" ht="14.45" thickBot="1">
      <c r="A7" s="37" t="s">
        <v>431</v>
      </c>
      <c r="B7" s="44" t="s">
        <v>164</v>
      </c>
      <c r="C7" s="44">
        <v>18</v>
      </c>
      <c r="D7" s="373"/>
      <c r="E7" s="57" t="s">
        <v>210</v>
      </c>
      <c r="F7" s="57" t="s">
        <v>134</v>
      </c>
      <c r="G7" s="57" t="s">
        <v>135</v>
      </c>
      <c r="L7" s="122"/>
      <c r="M7" s="122"/>
    </row>
    <row r="8" spans="1:13" ht="13.9">
      <c r="A8" s="37" t="s">
        <v>462</v>
      </c>
      <c r="B8" s="44" t="s">
        <v>166</v>
      </c>
      <c r="C8" s="44">
        <v>17</v>
      </c>
      <c r="D8" s="373"/>
      <c r="E8" s="37" t="s">
        <v>137</v>
      </c>
      <c r="F8" s="49">
        <f>COUNTIF(C$7:C$76,"&gt;16")</f>
        <v>6</v>
      </c>
      <c r="G8" s="50">
        <f>F8/F$14</f>
        <v>9.0909090909090912E-2</v>
      </c>
      <c r="I8" s="122"/>
      <c r="K8" s="122"/>
      <c r="L8" s="122"/>
      <c r="M8" s="122"/>
    </row>
    <row r="9" spans="1:13" ht="13.9">
      <c r="A9" s="37" t="s">
        <v>227</v>
      </c>
      <c r="B9" s="44" t="s">
        <v>166</v>
      </c>
      <c r="C9" s="44">
        <v>17</v>
      </c>
      <c r="D9" s="373"/>
      <c r="E9" s="37" t="s">
        <v>139</v>
      </c>
      <c r="F9" s="49">
        <f>COUNTIF(C$7:C$76,"=16")</f>
        <v>7</v>
      </c>
      <c r="G9" s="50">
        <f t="shared" ref="G9:G14" si="0">F9/F$14</f>
        <v>0.10606060606060606</v>
      </c>
      <c r="I9" s="122"/>
      <c r="K9" s="122"/>
      <c r="L9" s="122"/>
      <c r="M9" s="122"/>
    </row>
    <row r="10" spans="1:13" ht="13.9">
      <c r="A10" s="37" t="s">
        <v>479</v>
      </c>
      <c r="B10" s="44" t="s">
        <v>166</v>
      </c>
      <c r="C10" s="44">
        <v>17</v>
      </c>
      <c r="D10" s="373"/>
      <c r="E10" s="37" t="s">
        <v>140</v>
      </c>
      <c r="F10" s="49">
        <f>COUNTIF(C$7:C$76,"=15")</f>
        <v>17</v>
      </c>
      <c r="G10" s="50">
        <f t="shared" si="0"/>
        <v>0.25757575757575757</v>
      </c>
      <c r="I10" s="122"/>
      <c r="K10" s="122"/>
      <c r="L10" s="122"/>
      <c r="M10" s="122"/>
    </row>
    <row r="11" spans="1:13" ht="13.9">
      <c r="A11" s="37" t="s">
        <v>439</v>
      </c>
      <c r="B11" s="44" t="s">
        <v>166</v>
      </c>
      <c r="C11" s="44">
        <v>17</v>
      </c>
      <c r="D11" s="373"/>
      <c r="E11" s="37" t="s">
        <v>141</v>
      </c>
      <c r="F11" s="49">
        <f>COUNTIF(C$7:C$76,"=14")</f>
        <v>15</v>
      </c>
      <c r="G11" s="50">
        <f t="shared" si="0"/>
        <v>0.22727272727272727</v>
      </c>
      <c r="I11" s="122"/>
      <c r="K11" s="122"/>
      <c r="L11" s="122"/>
      <c r="M11" s="122"/>
    </row>
    <row r="12" spans="1:13" ht="13.9">
      <c r="A12" s="37" t="s">
        <v>293</v>
      </c>
      <c r="B12" s="44" t="s">
        <v>166</v>
      </c>
      <c r="C12" s="44">
        <v>17</v>
      </c>
      <c r="D12" s="373"/>
      <c r="E12" s="37" t="s">
        <v>142</v>
      </c>
      <c r="F12" s="49">
        <f>COUNTIF(C$7:C$76,"=13")</f>
        <v>13</v>
      </c>
      <c r="G12" s="50">
        <f t="shared" si="0"/>
        <v>0.19696969696969696</v>
      </c>
    </row>
    <row r="13" spans="1:13" ht="14.45" thickBot="1">
      <c r="A13" s="45" t="s">
        <v>361</v>
      </c>
      <c r="B13" s="46" t="s">
        <v>139</v>
      </c>
      <c r="C13" s="46">
        <v>16</v>
      </c>
      <c r="D13" s="373"/>
      <c r="E13" s="53" t="s">
        <v>143</v>
      </c>
      <c r="F13" s="55">
        <f>COUNTIF(C$7:C$76,"&lt;13")</f>
        <v>8</v>
      </c>
      <c r="G13" s="56">
        <f t="shared" si="0"/>
        <v>0.12121212121212122</v>
      </c>
    </row>
    <row r="14" spans="1:13" ht="13.9">
      <c r="A14" s="45" t="s">
        <v>263</v>
      </c>
      <c r="B14" s="46" t="s">
        <v>139</v>
      </c>
      <c r="C14" s="46">
        <v>16</v>
      </c>
      <c r="D14" s="373"/>
      <c r="E14" s="41" t="s">
        <v>144</v>
      </c>
      <c r="F14" s="51">
        <f>SUM(F8:F13)</f>
        <v>66</v>
      </c>
      <c r="G14" s="52">
        <f t="shared" si="0"/>
        <v>1</v>
      </c>
    </row>
    <row r="15" spans="1:13" ht="13.9">
      <c r="A15" s="45" t="s">
        <v>395</v>
      </c>
      <c r="B15" s="46" t="s">
        <v>139</v>
      </c>
      <c r="C15" s="46">
        <v>16</v>
      </c>
      <c r="D15" s="373"/>
      <c r="I15" s="5"/>
    </row>
    <row r="16" spans="1:13" ht="13.9">
      <c r="A16" s="45" t="s">
        <v>437</v>
      </c>
      <c r="B16" s="46" t="s">
        <v>139</v>
      </c>
      <c r="C16" s="46">
        <v>16</v>
      </c>
      <c r="D16" s="373"/>
      <c r="I16" s="5"/>
    </row>
    <row r="17" spans="1:10" ht="13.9">
      <c r="A17" s="45" t="s">
        <v>408</v>
      </c>
      <c r="B17" s="46" t="s">
        <v>139</v>
      </c>
      <c r="C17" s="46">
        <v>16</v>
      </c>
      <c r="D17" s="373"/>
      <c r="I17" s="5"/>
    </row>
    <row r="18" spans="1:10" ht="13.9">
      <c r="A18" s="45" t="s">
        <v>347</v>
      </c>
      <c r="B18" s="46" t="s">
        <v>139</v>
      </c>
      <c r="C18" s="46">
        <v>16</v>
      </c>
      <c r="D18" s="373"/>
      <c r="I18" s="5"/>
    </row>
    <row r="19" spans="1:10" ht="13.9">
      <c r="A19" s="45" t="s">
        <v>345</v>
      </c>
      <c r="B19" s="46" t="s">
        <v>139</v>
      </c>
      <c r="C19" s="46">
        <v>16</v>
      </c>
      <c r="D19" s="373"/>
      <c r="I19" s="5"/>
    </row>
    <row r="20" spans="1:10" ht="13.9">
      <c r="A20" s="37" t="s">
        <v>217</v>
      </c>
      <c r="B20" s="44" t="s">
        <v>140</v>
      </c>
      <c r="C20" s="44">
        <v>15</v>
      </c>
      <c r="D20" s="373"/>
      <c r="I20" s="5"/>
    </row>
    <row r="21" spans="1:10" ht="13.9">
      <c r="A21" s="37" t="s">
        <v>219</v>
      </c>
      <c r="B21" s="44" t="s">
        <v>140</v>
      </c>
      <c r="C21" s="44">
        <v>15</v>
      </c>
      <c r="D21" s="373"/>
    </row>
    <row r="22" spans="1:10" ht="13.9">
      <c r="A22" s="37" t="s">
        <v>463</v>
      </c>
      <c r="B22" s="44" t="s">
        <v>140</v>
      </c>
      <c r="C22" s="44">
        <v>15</v>
      </c>
      <c r="D22" s="373"/>
    </row>
    <row r="23" spans="1:10" ht="13.9">
      <c r="A23" s="37" t="s">
        <v>460</v>
      </c>
      <c r="B23" s="44" t="s">
        <v>140</v>
      </c>
      <c r="C23" s="44">
        <v>15</v>
      </c>
      <c r="D23" s="373"/>
    </row>
    <row r="24" spans="1:10" ht="13.9">
      <c r="A24" s="37" t="s">
        <v>269</v>
      </c>
      <c r="B24" s="44" t="s">
        <v>140</v>
      </c>
      <c r="C24" s="44">
        <v>15</v>
      </c>
      <c r="D24" s="373"/>
    </row>
    <row r="25" spans="1:10" ht="13.9">
      <c r="A25" s="37" t="s">
        <v>283</v>
      </c>
      <c r="B25" s="44" t="s">
        <v>140</v>
      </c>
      <c r="C25" s="44">
        <v>15</v>
      </c>
      <c r="D25" s="373"/>
    </row>
    <row r="26" spans="1:10" ht="13.9">
      <c r="A26" s="37" t="s">
        <v>442</v>
      </c>
      <c r="B26" s="44" t="s">
        <v>140</v>
      </c>
      <c r="C26" s="44">
        <v>15</v>
      </c>
      <c r="D26" s="373"/>
    </row>
    <row r="27" spans="1:10" ht="13.9">
      <c r="A27" s="37" t="s">
        <v>444</v>
      </c>
      <c r="B27" s="44" t="s">
        <v>140</v>
      </c>
      <c r="C27" s="44">
        <v>15</v>
      </c>
      <c r="D27" s="373"/>
    </row>
    <row r="28" spans="1:10" ht="13.9">
      <c r="A28" s="37" t="s">
        <v>271</v>
      </c>
      <c r="B28" s="44" t="s">
        <v>140</v>
      </c>
      <c r="C28" s="44">
        <v>15</v>
      </c>
      <c r="D28" s="373"/>
    </row>
    <row r="29" spans="1:10" ht="13.9">
      <c r="A29" s="37" t="s">
        <v>277</v>
      </c>
      <c r="B29" s="44" t="s">
        <v>140</v>
      </c>
      <c r="C29" s="44">
        <v>15</v>
      </c>
      <c r="D29" s="373"/>
    </row>
    <row r="30" spans="1:10" ht="13.9">
      <c r="A30" s="37" t="s">
        <v>299</v>
      </c>
      <c r="B30" s="44" t="s">
        <v>140</v>
      </c>
      <c r="C30" s="44">
        <v>15</v>
      </c>
      <c r="D30" s="373"/>
    </row>
    <row r="31" spans="1:10" ht="13.9">
      <c r="A31" s="37" t="s">
        <v>485</v>
      </c>
      <c r="B31" s="44" t="s">
        <v>140</v>
      </c>
      <c r="C31" s="44">
        <v>15</v>
      </c>
      <c r="D31" s="373"/>
      <c r="I31" s="122"/>
      <c r="J31" s="122"/>
    </row>
    <row r="32" spans="1:10" ht="13.9">
      <c r="A32" s="37" t="s">
        <v>285</v>
      </c>
      <c r="B32" s="44" t="s">
        <v>140</v>
      </c>
      <c r="C32" s="44">
        <v>15</v>
      </c>
      <c r="D32" s="373"/>
      <c r="J32" s="122"/>
    </row>
    <row r="33" spans="1:10" ht="13.9">
      <c r="A33" s="37" t="s">
        <v>427</v>
      </c>
      <c r="B33" s="44" t="s">
        <v>140</v>
      </c>
      <c r="C33" s="44">
        <v>15</v>
      </c>
      <c r="D33" s="373"/>
      <c r="J33" s="122"/>
    </row>
    <row r="34" spans="1:10" ht="13.9">
      <c r="A34" s="37" t="s">
        <v>291</v>
      </c>
      <c r="B34" s="44" t="s">
        <v>140</v>
      </c>
      <c r="C34" s="44">
        <v>15</v>
      </c>
      <c r="D34" s="373"/>
      <c r="J34" s="122"/>
    </row>
    <row r="35" spans="1:10" ht="13.9">
      <c r="A35" s="37" t="s">
        <v>247</v>
      </c>
      <c r="B35" s="44" t="s">
        <v>140</v>
      </c>
      <c r="C35" s="44">
        <v>15</v>
      </c>
      <c r="D35" s="373"/>
      <c r="E35" s="49" t="s">
        <v>373</v>
      </c>
      <c r="J35" s="122"/>
    </row>
    <row r="36" spans="1:10" ht="13.9">
      <c r="A36" s="37" t="s">
        <v>251</v>
      </c>
      <c r="B36" s="44" t="s">
        <v>140</v>
      </c>
      <c r="C36" s="44">
        <v>15</v>
      </c>
      <c r="D36" s="373"/>
      <c r="F36" s="7"/>
      <c r="G36" s="7"/>
      <c r="J36" s="122"/>
    </row>
    <row r="37" spans="1:10" ht="13.9">
      <c r="A37" s="45" t="s">
        <v>222</v>
      </c>
      <c r="B37" s="46" t="s">
        <v>141</v>
      </c>
      <c r="C37" s="46">
        <v>14</v>
      </c>
      <c r="D37" s="373"/>
      <c r="F37" s="5"/>
      <c r="H37" s="7"/>
    </row>
    <row r="38" spans="1:10" ht="13.9">
      <c r="A38" s="45" t="s">
        <v>249</v>
      </c>
      <c r="B38" s="46" t="s">
        <v>141</v>
      </c>
      <c r="C38" s="46">
        <v>14</v>
      </c>
      <c r="D38" s="373"/>
      <c r="F38" s="5"/>
      <c r="H38" s="8"/>
    </row>
    <row r="39" spans="1:10" ht="13.9">
      <c r="A39" s="45" t="s">
        <v>254</v>
      </c>
      <c r="B39" s="46" t="s">
        <v>141</v>
      </c>
      <c r="C39" s="46">
        <v>14</v>
      </c>
      <c r="D39" s="373"/>
      <c r="F39" s="5"/>
      <c r="H39" s="8"/>
    </row>
    <row r="40" spans="1:10" ht="13.9">
      <c r="A40" s="45" t="s">
        <v>259</v>
      </c>
      <c r="B40" s="46" t="s">
        <v>141</v>
      </c>
      <c r="C40" s="46">
        <v>14</v>
      </c>
      <c r="D40" s="373"/>
      <c r="F40" s="5"/>
      <c r="H40" s="8"/>
    </row>
    <row r="41" spans="1:10" ht="13.9">
      <c r="A41" s="45" t="s">
        <v>261</v>
      </c>
      <c r="B41" s="46" t="s">
        <v>141</v>
      </c>
      <c r="C41" s="46">
        <v>14</v>
      </c>
      <c r="D41" s="373"/>
      <c r="F41" s="5"/>
      <c r="H41" s="8"/>
    </row>
    <row r="42" spans="1:10" ht="13.9">
      <c r="A42" s="45" t="s">
        <v>328</v>
      </c>
      <c r="B42" s="46" t="s">
        <v>141</v>
      </c>
      <c r="C42" s="46">
        <v>14</v>
      </c>
      <c r="D42" s="373"/>
      <c r="F42" s="5"/>
      <c r="H42" s="8"/>
    </row>
    <row r="43" spans="1:10" ht="13.9">
      <c r="A43" s="45" t="s">
        <v>267</v>
      </c>
      <c r="B43" s="46" t="s">
        <v>141</v>
      </c>
      <c r="C43" s="46">
        <v>14</v>
      </c>
      <c r="D43" s="373"/>
    </row>
    <row r="44" spans="1:10" ht="13.9">
      <c r="A44" s="45" t="s">
        <v>275</v>
      </c>
      <c r="B44" s="46" t="s">
        <v>141</v>
      </c>
      <c r="C44" s="46">
        <v>14</v>
      </c>
      <c r="D44" s="373"/>
    </row>
    <row r="45" spans="1:10" ht="13.9">
      <c r="A45" s="45" t="s">
        <v>352</v>
      </c>
      <c r="B45" s="46" t="s">
        <v>141</v>
      </c>
      <c r="C45" s="46">
        <v>14</v>
      </c>
      <c r="D45" s="373"/>
    </row>
    <row r="46" spans="1:10" ht="13.9">
      <c r="A46" s="45" t="s">
        <v>446</v>
      </c>
      <c r="B46" s="46" t="s">
        <v>141</v>
      </c>
      <c r="C46" s="46">
        <v>14</v>
      </c>
      <c r="D46" s="373"/>
      <c r="H46" s="122"/>
    </row>
    <row r="47" spans="1:10" ht="13.9">
      <c r="A47" s="45" t="s">
        <v>279</v>
      </c>
      <c r="B47" s="46" t="s">
        <v>141</v>
      </c>
      <c r="C47" s="46">
        <v>14</v>
      </c>
      <c r="D47" s="373"/>
      <c r="E47" s="122"/>
      <c r="G47" s="122"/>
      <c r="H47" s="122"/>
    </row>
    <row r="48" spans="1:10" ht="13.9">
      <c r="A48" s="45" t="s">
        <v>394</v>
      </c>
      <c r="B48" s="46" t="s">
        <v>141</v>
      </c>
      <c r="C48" s="46">
        <v>14</v>
      </c>
      <c r="D48" s="373"/>
      <c r="E48" s="122"/>
      <c r="G48" s="122"/>
      <c r="H48" s="122"/>
    </row>
    <row r="49" spans="1:8" ht="13.9">
      <c r="A49" s="45" t="s">
        <v>382</v>
      </c>
      <c r="B49" s="46" t="s">
        <v>141</v>
      </c>
      <c r="C49" s="46">
        <v>14</v>
      </c>
      <c r="D49" s="373"/>
      <c r="E49" s="122"/>
      <c r="G49" s="122"/>
      <c r="H49" s="122"/>
    </row>
    <row r="50" spans="1:8" ht="13.9">
      <c r="A50" s="45" t="s">
        <v>243</v>
      </c>
      <c r="B50" s="46" t="s">
        <v>141</v>
      </c>
      <c r="C50" s="46">
        <v>14</v>
      </c>
      <c r="D50" s="373"/>
      <c r="E50" s="122"/>
      <c r="G50" s="122"/>
      <c r="H50" s="122"/>
    </row>
    <row r="51" spans="1:8" ht="13.9">
      <c r="A51" s="45" t="s">
        <v>289</v>
      </c>
      <c r="B51" s="46" t="s">
        <v>141</v>
      </c>
      <c r="C51" s="46">
        <v>14</v>
      </c>
      <c r="D51" s="373"/>
      <c r="E51" s="122"/>
      <c r="G51" s="122"/>
      <c r="H51" s="122"/>
    </row>
    <row r="52" spans="1:8" ht="13.9">
      <c r="A52" s="37" t="s">
        <v>465</v>
      </c>
      <c r="B52" s="44" t="s">
        <v>142</v>
      </c>
      <c r="C52" s="44">
        <v>13</v>
      </c>
      <c r="D52" s="373"/>
    </row>
    <row r="53" spans="1:8" ht="13.9">
      <c r="A53" s="37" t="s">
        <v>225</v>
      </c>
      <c r="B53" s="44" t="s">
        <v>142</v>
      </c>
      <c r="C53" s="44">
        <v>13</v>
      </c>
      <c r="D53" s="373"/>
    </row>
    <row r="54" spans="1:8" ht="13.9">
      <c r="A54" s="37" t="s">
        <v>245</v>
      </c>
      <c r="B54" s="44" t="s">
        <v>142</v>
      </c>
      <c r="C54" s="44">
        <v>13</v>
      </c>
      <c r="D54" s="373"/>
    </row>
    <row r="55" spans="1:8" ht="13.9">
      <c r="A55" s="37" t="s">
        <v>256</v>
      </c>
      <c r="B55" s="44" t="s">
        <v>142</v>
      </c>
      <c r="C55" s="44">
        <v>13</v>
      </c>
      <c r="D55" s="373"/>
    </row>
    <row r="56" spans="1:8" ht="13.9">
      <c r="A56" s="37" t="s">
        <v>449</v>
      </c>
      <c r="B56" s="44" t="s">
        <v>142</v>
      </c>
      <c r="C56" s="44">
        <v>13</v>
      </c>
      <c r="D56" s="373"/>
    </row>
    <row r="57" spans="1:8" ht="13.9">
      <c r="A57" s="37" t="s">
        <v>265</v>
      </c>
      <c r="B57" s="44" t="s">
        <v>142</v>
      </c>
      <c r="C57" s="44">
        <v>13</v>
      </c>
      <c r="D57" s="373"/>
    </row>
    <row r="58" spans="1:8" ht="13.9">
      <c r="A58" s="37" t="s">
        <v>367</v>
      </c>
      <c r="B58" s="44" t="s">
        <v>142</v>
      </c>
      <c r="C58" s="44">
        <v>13</v>
      </c>
      <c r="D58" s="373"/>
    </row>
    <row r="59" spans="1:8" ht="13.9">
      <c r="A59" s="37" t="s">
        <v>273</v>
      </c>
      <c r="B59" s="44" t="s">
        <v>142</v>
      </c>
      <c r="C59" s="44">
        <v>13</v>
      </c>
      <c r="D59" s="373"/>
    </row>
    <row r="60" spans="1:8" ht="13.9">
      <c r="A60" s="37" t="s">
        <v>281</v>
      </c>
      <c r="B60" s="44" t="s">
        <v>142</v>
      </c>
      <c r="C60" s="44">
        <v>13</v>
      </c>
      <c r="D60" s="373"/>
    </row>
    <row r="61" spans="1:8" ht="13.9">
      <c r="A61" s="37" t="s">
        <v>303</v>
      </c>
      <c r="B61" s="44" t="s">
        <v>142</v>
      </c>
      <c r="C61" s="44">
        <v>13</v>
      </c>
      <c r="D61" s="373"/>
    </row>
    <row r="62" spans="1:8" ht="13.9">
      <c r="A62" s="37" t="s">
        <v>305</v>
      </c>
      <c r="B62" s="44" t="s">
        <v>142</v>
      </c>
      <c r="C62" s="44">
        <v>13</v>
      </c>
      <c r="D62" s="373"/>
    </row>
    <row r="63" spans="1:8" ht="13.9">
      <c r="A63" s="37" t="s">
        <v>369</v>
      </c>
      <c r="B63" s="44" t="s">
        <v>142</v>
      </c>
      <c r="C63" s="44">
        <v>13</v>
      </c>
      <c r="D63" s="373"/>
    </row>
    <row r="64" spans="1:8" ht="13.9">
      <c r="A64" s="37" t="s">
        <v>354</v>
      </c>
      <c r="B64" s="44" t="s">
        <v>142</v>
      </c>
      <c r="C64" s="44">
        <v>13</v>
      </c>
      <c r="D64" s="373"/>
    </row>
    <row r="65" spans="1:5" ht="13.9">
      <c r="A65" s="45" t="s">
        <v>238</v>
      </c>
      <c r="B65" s="46" t="s">
        <v>173</v>
      </c>
      <c r="C65" s="46">
        <v>12</v>
      </c>
      <c r="D65" s="373"/>
    </row>
    <row r="66" spans="1:5" ht="13.9">
      <c r="A66" s="45" t="s">
        <v>424</v>
      </c>
      <c r="B66" s="46" t="s">
        <v>173</v>
      </c>
      <c r="C66" s="46">
        <v>12</v>
      </c>
      <c r="D66" s="373"/>
    </row>
    <row r="67" spans="1:5" ht="13.9">
      <c r="A67" s="45" t="s">
        <v>287</v>
      </c>
      <c r="B67" s="46" t="s">
        <v>173</v>
      </c>
      <c r="C67" s="46">
        <v>12</v>
      </c>
      <c r="D67" s="373"/>
    </row>
    <row r="68" spans="1:5" ht="13.9">
      <c r="A68" s="45" t="s">
        <v>297</v>
      </c>
      <c r="B68" s="46" t="s">
        <v>173</v>
      </c>
      <c r="C68" s="46">
        <v>12</v>
      </c>
      <c r="D68" s="373"/>
    </row>
    <row r="69" spans="1:5" ht="13.9">
      <c r="A69" s="37" t="s">
        <v>458</v>
      </c>
      <c r="B69" s="44" t="s">
        <v>175</v>
      </c>
      <c r="C69" s="44">
        <v>11</v>
      </c>
      <c r="D69" s="373"/>
      <c r="E69" s="122"/>
    </row>
    <row r="70" spans="1:5" ht="13.9">
      <c r="A70" s="37" t="s">
        <v>486</v>
      </c>
      <c r="B70" s="44" t="s">
        <v>177</v>
      </c>
      <c r="C70" s="44">
        <v>10</v>
      </c>
      <c r="D70" s="373"/>
    </row>
    <row r="71" spans="1:5" ht="13.9">
      <c r="A71" s="37" t="s">
        <v>493</v>
      </c>
      <c r="B71" s="44" t="s">
        <v>179</v>
      </c>
      <c r="C71" s="44">
        <v>9</v>
      </c>
      <c r="D71" s="373"/>
      <c r="E71" s="122"/>
    </row>
    <row r="72" spans="1:5" ht="13.9">
      <c r="A72" s="37" t="s">
        <v>371</v>
      </c>
      <c r="B72" s="44" t="s">
        <v>183</v>
      </c>
      <c r="C72" s="44">
        <v>7</v>
      </c>
      <c r="D72" s="373"/>
    </row>
    <row r="73" spans="1:5" ht="13.9">
      <c r="A73" s="37" t="s">
        <v>480</v>
      </c>
      <c r="B73" s="47" t="s">
        <v>487</v>
      </c>
      <c r="C73" s="47"/>
      <c r="D73" s="5"/>
    </row>
    <row r="74" spans="1:5" ht="13.9">
      <c r="A74" s="37" t="s">
        <v>308</v>
      </c>
      <c r="B74" s="47" t="s">
        <v>487</v>
      </c>
      <c r="C74" s="47"/>
      <c r="D74" s="5"/>
    </row>
    <row r="75" spans="1:5" ht="13.9">
      <c r="A75" s="37" t="s">
        <v>389</v>
      </c>
      <c r="B75" s="47" t="s">
        <v>487</v>
      </c>
      <c r="C75" s="47"/>
      <c r="D75" s="5"/>
    </row>
    <row r="76" spans="1:5" ht="14.45" thickBot="1">
      <c r="A76" s="53" t="s">
        <v>295</v>
      </c>
      <c r="B76" s="54" t="s">
        <v>487</v>
      </c>
      <c r="C76" s="54"/>
      <c r="D76" s="5"/>
    </row>
    <row r="77" spans="1:5" ht="13.9">
      <c r="A77" s="41" t="s">
        <v>311</v>
      </c>
      <c r="B77" s="43" t="s">
        <v>141</v>
      </c>
      <c r="C77" s="42">
        <f>AVERAGE(C7:C72)</f>
        <v>14.151515151515152</v>
      </c>
      <c r="D77" s="9"/>
    </row>
    <row r="78" spans="1:5">
      <c r="A78" s="3"/>
      <c r="B78" s="3"/>
      <c r="D78" s="9"/>
    </row>
    <row r="79" spans="1:5">
      <c r="A79" s="3"/>
      <c r="B79" s="3"/>
      <c r="D79" s="9"/>
    </row>
    <row r="80" spans="1:5">
      <c r="A80" s="48" t="s">
        <v>312</v>
      </c>
      <c r="D80" s="9"/>
    </row>
    <row r="81" spans="1:4">
      <c r="A81" s="48" t="s">
        <v>494</v>
      </c>
      <c r="D81" s="9"/>
    </row>
    <row r="82" spans="1:4">
      <c r="A82" s="48" t="s">
        <v>495</v>
      </c>
      <c r="D82" s="9"/>
    </row>
    <row r="83" spans="1:4">
      <c r="A83" s="48" t="s">
        <v>496</v>
      </c>
      <c r="D83" s="9"/>
    </row>
    <row r="84" spans="1:4">
      <c r="A84" s="2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">
    <tabColor rgb="FF0070C0"/>
    <pageSetUpPr fitToPage="1"/>
  </sheetPr>
  <dimension ref="A1:H84"/>
  <sheetViews>
    <sheetView zoomScale="80" zoomScaleNormal="80" workbookViewId="0"/>
  </sheetViews>
  <sheetFormatPr defaultColWidth="9.140625" defaultRowHeight="13.15"/>
  <cols>
    <col min="1" max="1" width="37.140625" customWidth="1"/>
    <col min="5" max="5" width="11.5703125" customWidth="1"/>
  </cols>
  <sheetData>
    <row r="1" spans="1:7" ht="17.45">
      <c r="A1" s="12" t="s">
        <v>497</v>
      </c>
    </row>
    <row r="2" spans="1:7" ht="17.45">
      <c r="A2" s="12"/>
    </row>
    <row r="3" spans="1:7" ht="17.45">
      <c r="A3" s="12"/>
    </row>
    <row r="4" spans="1:7" ht="17.45">
      <c r="A4" s="12"/>
    </row>
    <row r="6" spans="1:7">
      <c r="A6" s="22" t="s">
        <v>212</v>
      </c>
      <c r="B6" s="13">
        <v>2006</v>
      </c>
      <c r="C6" s="14"/>
      <c r="E6" s="11"/>
    </row>
    <row r="7" spans="1:7">
      <c r="A7" s="3" t="s">
        <v>431</v>
      </c>
      <c r="B7" s="3" t="s">
        <v>164</v>
      </c>
      <c r="C7" s="4">
        <v>18</v>
      </c>
      <c r="D7" s="5"/>
      <c r="E7" s="7" t="s">
        <v>210</v>
      </c>
      <c r="F7" s="7" t="s">
        <v>134</v>
      </c>
      <c r="G7" s="7" t="s">
        <v>135</v>
      </c>
    </row>
    <row r="8" spans="1:7">
      <c r="A8" s="3" t="s">
        <v>418</v>
      </c>
      <c r="B8" s="1" t="s">
        <v>166</v>
      </c>
      <c r="C8" s="4">
        <v>17</v>
      </c>
      <c r="D8" s="5"/>
      <c r="E8" s="5" t="s">
        <v>137</v>
      </c>
      <c r="F8">
        <v>8</v>
      </c>
      <c r="G8" s="8">
        <f>F8/F14</f>
        <v>0.12121212121212122</v>
      </c>
    </row>
    <row r="9" spans="1:7">
      <c r="A9" s="3" t="s">
        <v>227</v>
      </c>
      <c r="B9" s="3" t="s">
        <v>166</v>
      </c>
      <c r="C9" s="4">
        <v>17</v>
      </c>
      <c r="D9" s="5"/>
      <c r="E9" s="5" t="s">
        <v>139</v>
      </c>
      <c r="F9">
        <v>3</v>
      </c>
      <c r="G9" s="8">
        <f t="shared" ref="G9:G14" si="0">F9/$F$14</f>
        <v>4.5454545454545456E-2</v>
      </c>
    </row>
    <row r="10" spans="1:7">
      <c r="A10" s="3" t="s">
        <v>479</v>
      </c>
      <c r="B10" s="3" t="s">
        <v>166</v>
      </c>
      <c r="C10" s="4">
        <v>17</v>
      </c>
      <c r="D10" s="5"/>
      <c r="E10" s="5" t="s">
        <v>140</v>
      </c>
      <c r="F10">
        <v>14</v>
      </c>
      <c r="G10" s="8">
        <f t="shared" si="0"/>
        <v>0.21212121212121213</v>
      </c>
    </row>
    <row r="11" spans="1:7">
      <c r="A11" s="3" t="s">
        <v>437</v>
      </c>
      <c r="B11" s="3" t="s">
        <v>166</v>
      </c>
      <c r="C11" s="4">
        <v>17</v>
      </c>
      <c r="D11" s="5"/>
      <c r="E11" s="5" t="s">
        <v>141</v>
      </c>
      <c r="F11">
        <v>23</v>
      </c>
      <c r="G11" s="8">
        <f t="shared" si="0"/>
        <v>0.34848484848484851</v>
      </c>
    </row>
    <row r="12" spans="1:7">
      <c r="A12" s="3" t="s">
        <v>439</v>
      </c>
      <c r="B12" s="3" t="s">
        <v>166</v>
      </c>
      <c r="C12" s="4">
        <v>17</v>
      </c>
      <c r="D12" s="5"/>
      <c r="E12" s="5" t="s">
        <v>142</v>
      </c>
      <c r="F12">
        <v>6</v>
      </c>
      <c r="G12" s="8">
        <f t="shared" si="0"/>
        <v>9.0909090909090912E-2</v>
      </c>
    </row>
    <row r="13" spans="1:7">
      <c r="A13" s="3" t="s">
        <v>293</v>
      </c>
      <c r="B13" s="3" t="s">
        <v>166</v>
      </c>
      <c r="C13" s="4">
        <v>17</v>
      </c>
      <c r="D13" s="5"/>
      <c r="E13" s="5" t="s">
        <v>143</v>
      </c>
      <c r="F13">
        <v>12</v>
      </c>
      <c r="G13" s="8">
        <f t="shared" si="0"/>
        <v>0.18181818181818182</v>
      </c>
    </row>
    <row r="14" spans="1:7">
      <c r="A14" s="3" t="s">
        <v>498</v>
      </c>
      <c r="B14" s="3" t="s">
        <v>166</v>
      </c>
      <c r="C14" s="4">
        <v>17</v>
      </c>
      <c r="D14" s="5"/>
      <c r="E14" s="5" t="s">
        <v>144</v>
      </c>
      <c r="F14">
        <f>SUM(F8:F13)</f>
        <v>66</v>
      </c>
      <c r="G14" s="6">
        <f t="shared" si="0"/>
        <v>1</v>
      </c>
    </row>
    <row r="15" spans="1:7">
      <c r="A15" s="19" t="s">
        <v>408</v>
      </c>
      <c r="B15" s="15" t="s">
        <v>139</v>
      </c>
      <c r="C15" s="16">
        <v>16</v>
      </c>
      <c r="D15" s="5"/>
    </row>
    <row r="16" spans="1:7">
      <c r="A16" s="15" t="s">
        <v>347</v>
      </c>
      <c r="B16" s="15" t="s">
        <v>139</v>
      </c>
      <c r="C16" s="16">
        <v>16</v>
      </c>
      <c r="D16" s="5"/>
    </row>
    <row r="17" spans="1:4">
      <c r="A17" s="15" t="s">
        <v>345</v>
      </c>
      <c r="B17" s="15" t="s">
        <v>139</v>
      </c>
      <c r="C17" s="16">
        <v>16</v>
      </c>
      <c r="D17" s="5"/>
    </row>
    <row r="18" spans="1:4">
      <c r="A18" s="3" t="s">
        <v>217</v>
      </c>
      <c r="B18" s="3" t="s">
        <v>140</v>
      </c>
      <c r="C18" s="4">
        <v>15</v>
      </c>
      <c r="D18" s="5"/>
    </row>
    <row r="19" spans="1:4">
      <c r="A19" s="3" t="s">
        <v>219</v>
      </c>
      <c r="B19" s="3" t="s">
        <v>140</v>
      </c>
      <c r="C19" s="4">
        <v>15</v>
      </c>
      <c r="D19" s="5"/>
    </row>
    <row r="20" spans="1:4">
      <c r="A20" s="3" t="s">
        <v>499</v>
      </c>
      <c r="B20" s="3" t="s">
        <v>140</v>
      </c>
      <c r="C20" s="4">
        <v>15</v>
      </c>
      <c r="D20" s="5"/>
    </row>
    <row r="21" spans="1:4">
      <c r="A21" s="3" t="s">
        <v>460</v>
      </c>
      <c r="B21" s="3" t="s">
        <v>140</v>
      </c>
      <c r="C21" s="4">
        <v>15</v>
      </c>
      <c r="D21" s="5"/>
    </row>
    <row r="22" spans="1:4">
      <c r="A22" s="3" t="s">
        <v>269</v>
      </c>
      <c r="B22" s="3" t="s">
        <v>140</v>
      </c>
      <c r="C22" s="4">
        <v>15</v>
      </c>
      <c r="D22" s="5"/>
    </row>
    <row r="23" spans="1:4">
      <c r="A23" s="3" t="s">
        <v>283</v>
      </c>
      <c r="B23" s="3" t="s">
        <v>140</v>
      </c>
      <c r="C23" s="4">
        <v>15</v>
      </c>
      <c r="D23" s="5"/>
    </row>
    <row r="24" spans="1:4">
      <c r="A24" s="1" t="s">
        <v>500</v>
      </c>
      <c r="B24" s="1" t="s">
        <v>140</v>
      </c>
      <c r="C24" s="4">
        <v>15</v>
      </c>
      <c r="D24" s="5"/>
    </row>
    <row r="25" spans="1:4">
      <c r="A25" s="1" t="s">
        <v>501</v>
      </c>
      <c r="B25" s="1" t="s">
        <v>140</v>
      </c>
      <c r="C25" s="4">
        <v>15</v>
      </c>
      <c r="D25" s="5"/>
    </row>
    <row r="26" spans="1:4">
      <c r="A26" s="18" t="s">
        <v>271</v>
      </c>
      <c r="B26" s="18" t="s">
        <v>140</v>
      </c>
      <c r="C26" s="4">
        <v>15</v>
      </c>
      <c r="D26" s="5"/>
    </row>
    <row r="27" spans="1:4">
      <c r="A27" s="3" t="s">
        <v>277</v>
      </c>
      <c r="B27" s="3" t="s">
        <v>140</v>
      </c>
      <c r="C27" s="4">
        <v>15</v>
      </c>
      <c r="D27" s="5"/>
    </row>
    <row r="28" spans="1:4">
      <c r="A28" s="3" t="s">
        <v>299</v>
      </c>
      <c r="B28" s="3" t="s">
        <v>140</v>
      </c>
      <c r="C28" s="4">
        <v>15</v>
      </c>
      <c r="D28" s="5"/>
    </row>
    <row r="29" spans="1:4">
      <c r="A29" s="3" t="s">
        <v>285</v>
      </c>
      <c r="B29" s="3" t="s">
        <v>140</v>
      </c>
      <c r="C29" s="4">
        <v>15</v>
      </c>
      <c r="D29" s="5"/>
    </row>
    <row r="30" spans="1:4">
      <c r="A30" s="3" t="s">
        <v>291</v>
      </c>
      <c r="B30" s="3" t="s">
        <v>140</v>
      </c>
      <c r="C30" s="4">
        <v>15</v>
      </c>
      <c r="D30" s="5"/>
    </row>
    <row r="31" spans="1:4">
      <c r="A31" s="3" t="s">
        <v>247</v>
      </c>
      <c r="B31" s="3" t="s">
        <v>140</v>
      </c>
      <c r="C31" s="4">
        <v>15</v>
      </c>
      <c r="D31" s="5"/>
    </row>
    <row r="32" spans="1:4">
      <c r="A32" s="15" t="s">
        <v>225</v>
      </c>
      <c r="B32" s="15" t="s">
        <v>141</v>
      </c>
      <c r="C32" s="16">
        <v>14</v>
      </c>
      <c r="D32" s="5"/>
    </row>
    <row r="33" spans="1:8">
      <c r="A33" s="15" t="s">
        <v>502</v>
      </c>
      <c r="B33" s="15" t="s">
        <v>141</v>
      </c>
      <c r="C33" s="16">
        <v>14</v>
      </c>
      <c r="D33" s="5"/>
    </row>
    <row r="34" spans="1:8">
      <c r="A34" s="15" t="s">
        <v>249</v>
      </c>
      <c r="B34" s="15" t="s">
        <v>141</v>
      </c>
      <c r="C34" s="16">
        <v>14</v>
      </c>
      <c r="D34" s="5"/>
    </row>
    <row r="35" spans="1:8">
      <c r="A35" s="15" t="s">
        <v>254</v>
      </c>
      <c r="B35" s="15" t="s">
        <v>141</v>
      </c>
      <c r="C35" s="16">
        <v>14</v>
      </c>
      <c r="D35" s="5"/>
      <c r="E35" s="2" t="s">
        <v>503</v>
      </c>
    </row>
    <row r="36" spans="1:8">
      <c r="A36" s="15" t="s">
        <v>361</v>
      </c>
      <c r="B36" s="19" t="s">
        <v>141</v>
      </c>
      <c r="C36" s="16">
        <v>14</v>
      </c>
      <c r="D36" s="5"/>
    </row>
    <row r="37" spans="1:8">
      <c r="A37" s="15" t="s">
        <v>261</v>
      </c>
      <c r="B37" s="15" t="s">
        <v>141</v>
      </c>
      <c r="C37" s="16">
        <v>14</v>
      </c>
      <c r="D37" s="5"/>
      <c r="F37" s="7"/>
      <c r="G37" s="7"/>
      <c r="H37" s="7"/>
    </row>
    <row r="38" spans="1:8">
      <c r="A38" s="15" t="s">
        <v>263</v>
      </c>
      <c r="B38" s="15" t="s">
        <v>141</v>
      </c>
      <c r="C38" s="16">
        <v>14</v>
      </c>
      <c r="D38" s="5"/>
      <c r="F38" s="5"/>
      <c r="H38" s="8"/>
    </row>
    <row r="39" spans="1:8">
      <c r="A39" s="15" t="s">
        <v>504</v>
      </c>
      <c r="B39" s="15" t="s">
        <v>141</v>
      </c>
      <c r="C39" s="16">
        <v>14</v>
      </c>
      <c r="D39" s="5"/>
      <c r="F39" s="5"/>
      <c r="H39" s="8"/>
    </row>
    <row r="40" spans="1:8">
      <c r="A40" s="15" t="s">
        <v>328</v>
      </c>
      <c r="B40" s="15" t="s">
        <v>141</v>
      </c>
      <c r="C40" s="16">
        <v>14</v>
      </c>
      <c r="D40" s="5"/>
      <c r="F40" s="5"/>
      <c r="H40" s="8"/>
    </row>
    <row r="41" spans="1:8">
      <c r="A41" s="15" t="s">
        <v>267</v>
      </c>
      <c r="B41" s="15" t="s">
        <v>141</v>
      </c>
      <c r="C41" s="16">
        <v>14</v>
      </c>
      <c r="D41" s="5"/>
      <c r="F41" s="5"/>
      <c r="H41" s="8"/>
    </row>
    <row r="42" spans="1:8">
      <c r="A42" s="15" t="s">
        <v>275</v>
      </c>
      <c r="B42" s="15" t="s">
        <v>141</v>
      </c>
      <c r="C42" s="16">
        <v>14</v>
      </c>
      <c r="D42" s="5"/>
      <c r="F42" s="5"/>
      <c r="H42" s="8"/>
    </row>
    <row r="43" spans="1:8">
      <c r="A43" s="15" t="s">
        <v>505</v>
      </c>
      <c r="B43" s="15" t="s">
        <v>141</v>
      </c>
      <c r="C43" s="16">
        <v>14</v>
      </c>
      <c r="D43" s="5"/>
      <c r="F43" s="5"/>
      <c r="H43" s="8"/>
    </row>
    <row r="44" spans="1:8">
      <c r="A44" s="15" t="s">
        <v>446</v>
      </c>
      <c r="B44" s="15" t="s">
        <v>141</v>
      </c>
      <c r="C44" s="16">
        <v>14</v>
      </c>
      <c r="D44" s="5"/>
      <c r="F44" s="5"/>
    </row>
    <row r="45" spans="1:8">
      <c r="A45" s="15" t="s">
        <v>279</v>
      </c>
      <c r="B45" s="15" t="s">
        <v>141</v>
      </c>
      <c r="C45" s="16">
        <v>14</v>
      </c>
      <c r="D45" s="5"/>
    </row>
    <row r="46" spans="1:8">
      <c r="A46" s="15" t="s">
        <v>273</v>
      </c>
      <c r="B46" s="15" t="s">
        <v>141</v>
      </c>
      <c r="C46" s="16">
        <v>14</v>
      </c>
      <c r="D46" s="5"/>
    </row>
    <row r="47" spans="1:8">
      <c r="A47" s="15" t="s">
        <v>394</v>
      </c>
      <c r="B47" s="15" t="s">
        <v>141</v>
      </c>
      <c r="C47" s="16">
        <v>14</v>
      </c>
      <c r="D47" s="5"/>
    </row>
    <row r="48" spans="1:8">
      <c r="A48" s="15" t="s">
        <v>382</v>
      </c>
      <c r="B48" s="15" t="s">
        <v>141</v>
      </c>
      <c r="C48" s="16">
        <v>14</v>
      </c>
      <c r="D48" s="5"/>
    </row>
    <row r="49" spans="1:4">
      <c r="A49" s="15" t="s">
        <v>301</v>
      </c>
      <c r="B49" s="23" t="s">
        <v>141</v>
      </c>
      <c r="C49" s="16">
        <v>14</v>
      </c>
      <c r="D49" s="5"/>
    </row>
    <row r="50" spans="1:4">
      <c r="A50" s="15" t="s">
        <v>303</v>
      </c>
      <c r="B50" s="15" t="s">
        <v>141</v>
      </c>
      <c r="C50" s="16">
        <v>14</v>
      </c>
      <c r="D50" s="5"/>
    </row>
    <row r="51" spans="1:4">
      <c r="A51" s="15" t="s">
        <v>243</v>
      </c>
      <c r="B51" s="15" t="s">
        <v>141</v>
      </c>
      <c r="C51" s="16">
        <v>14</v>
      </c>
      <c r="D51" s="5"/>
    </row>
    <row r="52" spans="1:4">
      <c r="A52" s="15" t="s">
        <v>506</v>
      </c>
      <c r="B52" s="15" t="s">
        <v>141</v>
      </c>
      <c r="C52" s="16">
        <v>14</v>
      </c>
      <c r="D52" s="5"/>
    </row>
    <row r="53" spans="1:4">
      <c r="A53" s="15" t="s">
        <v>289</v>
      </c>
      <c r="B53" s="15" t="s">
        <v>141</v>
      </c>
      <c r="C53" s="16">
        <v>14</v>
      </c>
      <c r="D53" s="5"/>
    </row>
    <row r="54" spans="1:4">
      <c r="A54" s="15" t="s">
        <v>507</v>
      </c>
      <c r="B54" s="15" t="s">
        <v>141</v>
      </c>
      <c r="C54" s="16">
        <v>14</v>
      </c>
      <c r="D54" s="5"/>
    </row>
    <row r="55" spans="1:4">
      <c r="A55" s="3" t="s">
        <v>245</v>
      </c>
      <c r="B55" s="3" t="s">
        <v>142</v>
      </c>
      <c r="C55" s="4">
        <v>13</v>
      </c>
      <c r="D55" s="5"/>
    </row>
    <row r="56" spans="1:4">
      <c r="A56" s="3" t="s">
        <v>265</v>
      </c>
      <c r="B56" s="1" t="s">
        <v>142</v>
      </c>
      <c r="C56" s="4">
        <v>13</v>
      </c>
      <c r="D56" s="5"/>
    </row>
    <row r="57" spans="1:4">
      <c r="A57" s="3" t="s">
        <v>367</v>
      </c>
      <c r="B57" s="3" t="s">
        <v>142</v>
      </c>
      <c r="C57" s="4">
        <v>13</v>
      </c>
      <c r="D57" s="5"/>
    </row>
    <row r="58" spans="1:4">
      <c r="A58" s="3" t="s">
        <v>281</v>
      </c>
      <c r="B58" s="1" t="s">
        <v>142</v>
      </c>
      <c r="C58" s="4">
        <v>13</v>
      </c>
      <c r="D58" s="5"/>
    </row>
    <row r="59" spans="1:4">
      <c r="A59" s="3" t="s">
        <v>305</v>
      </c>
      <c r="B59" s="3" t="s">
        <v>142</v>
      </c>
      <c r="C59" s="4">
        <v>13</v>
      </c>
      <c r="D59" s="5"/>
    </row>
    <row r="60" spans="1:4">
      <c r="A60" s="3" t="s">
        <v>508</v>
      </c>
      <c r="B60" s="3" t="s">
        <v>142</v>
      </c>
      <c r="C60" s="4">
        <v>13</v>
      </c>
      <c r="D60" s="5"/>
    </row>
    <row r="61" spans="1:4">
      <c r="A61" s="15" t="s">
        <v>465</v>
      </c>
      <c r="B61" s="15" t="s">
        <v>173</v>
      </c>
      <c r="C61" s="16">
        <v>12</v>
      </c>
      <c r="D61" s="5"/>
    </row>
    <row r="62" spans="1:4">
      <c r="A62" s="15" t="s">
        <v>238</v>
      </c>
      <c r="B62" s="15" t="s">
        <v>173</v>
      </c>
      <c r="C62" s="16">
        <v>12</v>
      </c>
      <c r="D62" s="5"/>
    </row>
    <row r="63" spans="1:4">
      <c r="A63" s="15" t="s">
        <v>424</v>
      </c>
      <c r="B63" s="15" t="s">
        <v>173</v>
      </c>
      <c r="C63" s="16">
        <v>12</v>
      </c>
      <c r="D63" s="5"/>
    </row>
    <row r="64" spans="1:4">
      <c r="A64" s="15" t="s">
        <v>259</v>
      </c>
      <c r="B64" s="19" t="s">
        <v>173</v>
      </c>
      <c r="C64" s="16">
        <v>12</v>
      </c>
      <c r="D64" s="5"/>
    </row>
    <row r="65" spans="1:4">
      <c r="A65" s="15" t="s">
        <v>287</v>
      </c>
      <c r="B65" s="15" t="s">
        <v>173</v>
      </c>
      <c r="C65" s="16">
        <v>12</v>
      </c>
      <c r="D65" s="5"/>
    </row>
    <row r="66" spans="1:4">
      <c r="A66" s="15" t="s">
        <v>297</v>
      </c>
      <c r="B66" s="15" t="s">
        <v>173</v>
      </c>
      <c r="C66" s="16">
        <v>12</v>
      </c>
      <c r="D66" s="5"/>
    </row>
    <row r="67" spans="1:4">
      <c r="A67" s="15" t="s">
        <v>354</v>
      </c>
      <c r="B67" s="15" t="s">
        <v>173</v>
      </c>
      <c r="C67" s="16">
        <v>12</v>
      </c>
      <c r="D67" s="5"/>
    </row>
    <row r="68" spans="1:4">
      <c r="A68" s="3" t="s">
        <v>256</v>
      </c>
      <c r="B68" s="3" t="s">
        <v>175</v>
      </c>
      <c r="C68" s="4">
        <v>11</v>
      </c>
      <c r="D68" s="5"/>
    </row>
    <row r="69" spans="1:4">
      <c r="A69" s="3" t="s">
        <v>369</v>
      </c>
      <c r="B69" s="3" t="s">
        <v>175</v>
      </c>
      <c r="C69" s="4">
        <v>11</v>
      </c>
      <c r="D69" s="5"/>
    </row>
    <row r="70" spans="1:4">
      <c r="A70" s="3" t="s">
        <v>509</v>
      </c>
      <c r="B70" s="20" t="s">
        <v>175</v>
      </c>
      <c r="C70" s="4">
        <v>11</v>
      </c>
      <c r="D70" s="5"/>
    </row>
    <row r="71" spans="1:4">
      <c r="A71" s="15" t="s">
        <v>486</v>
      </c>
      <c r="B71" s="19" t="s">
        <v>177</v>
      </c>
      <c r="C71" s="16">
        <v>10</v>
      </c>
      <c r="D71" s="5"/>
    </row>
    <row r="72" spans="1:4">
      <c r="A72" s="15" t="s">
        <v>493</v>
      </c>
      <c r="B72" s="19" t="s">
        <v>181</v>
      </c>
      <c r="C72" s="16">
        <v>8</v>
      </c>
      <c r="D72" s="5"/>
    </row>
    <row r="73" spans="1:4">
      <c r="A73" s="3" t="s">
        <v>480</v>
      </c>
      <c r="B73" s="3" t="s">
        <v>310</v>
      </c>
      <c r="C73" s="4" t="s">
        <v>487</v>
      </c>
      <c r="D73" s="5"/>
    </row>
    <row r="74" spans="1:4">
      <c r="A74" s="3" t="s">
        <v>510</v>
      </c>
      <c r="B74" s="3"/>
      <c r="C74" s="4" t="s">
        <v>487</v>
      </c>
      <c r="D74" s="5"/>
    </row>
    <row r="75" spans="1:4">
      <c r="A75" s="3" t="s">
        <v>389</v>
      </c>
      <c r="B75" s="3" t="s">
        <v>310</v>
      </c>
      <c r="C75" s="4" t="s">
        <v>487</v>
      </c>
      <c r="D75" s="5"/>
    </row>
    <row r="76" spans="1:4">
      <c r="A76" s="3" t="s">
        <v>295</v>
      </c>
      <c r="B76" s="3" t="s">
        <v>310</v>
      </c>
      <c r="C76" s="4" t="s">
        <v>487</v>
      </c>
      <c r="D76" s="5"/>
    </row>
    <row r="77" spans="1:4">
      <c r="A77" s="20" t="s">
        <v>311</v>
      </c>
      <c r="B77" s="20" t="s">
        <v>141</v>
      </c>
      <c r="C77" s="21">
        <f>SUM(C7:C72)/66</f>
        <v>14.090909090909092</v>
      </c>
      <c r="D77" s="9"/>
    </row>
    <row r="78" spans="1:4">
      <c r="A78" s="3"/>
      <c r="B78" s="3"/>
      <c r="D78" s="9"/>
    </row>
    <row r="79" spans="1:4">
      <c r="A79" s="2" t="s">
        <v>511</v>
      </c>
      <c r="D79" s="9"/>
    </row>
    <row r="80" spans="1:4">
      <c r="A80" s="1" t="s">
        <v>512</v>
      </c>
      <c r="D80" s="9"/>
    </row>
    <row r="81" spans="1:4">
      <c r="A81" s="2" t="s">
        <v>513</v>
      </c>
      <c r="D81" s="9"/>
    </row>
    <row r="82" spans="1:4">
      <c r="A82" s="2" t="s">
        <v>514</v>
      </c>
      <c r="D82" s="9"/>
    </row>
    <row r="83" spans="1:4">
      <c r="D83" s="9"/>
    </row>
    <row r="84" spans="1:4">
      <c r="A84" s="2" t="s">
        <v>515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">
    <tabColor rgb="FF002060"/>
  </sheetPr>
  <dimension ref="A1:G96"/>
  <sheetViews>
    <sheetView zoomScale="80" zoomScaleNormal="80" workbookViewId="0"/>
  </sheetViews>
  <sheetFormatPr defaultColWidth="9.140625" defaultRowHeight="13.15"/>
  <cols>
    <col min="1" max="1" width="35.140625" customWidth="1"/>
    <col min="3" max="3" width="9.140625" style="4"/>
    <col min="5" max="5" width="11.28515625" customWidth="1"/>
  </cols>
  <sheetData>
    <row r="1" spans="1:7" ht="17.45">
      <c r="A1" s="12" t="s">
        <v>516</v>
      </c>
    </row>
    <row r="2" spans="1:7" ht="17.45">
      <c r="A2" s="12"/>
    </row>
    <row r="3" spans="1:7" ht="17.45">
      <c r="A3" s="12"/>
    </row>
    <row r="4" spans="1:7" ht="17.45">
      <c r="A4" s="12"/>
    </row>
    <row r="7" spans="1:7">
      <c r="A7" s="24"/>
      <c r="B7" s="11"/>
    </row>
    <row r="8" spans="1:7">
      <c r="A8" s="22" t="s">
        <v>212</v>
      </c>
      <c r="B8" s="17" t="s">
        <v>517</v>
      </c>
      <c r="C8" s="16"/>
      <c r="E8" s="11"/>
    </row>
    <row r="9" spans="1:7">
      <c r="A9" s="9" t="s">
        <v>518</v>
      </c>
      <c r="B9" s="1" t="s">
        <v>164</v>
      </c>
      <c r="C9" s="4">
        <v>18</v>
      </c>
      <c r="E9" s="7" t="s">
        <v>210</v>
      </c>
      <c r="F9" s="7" t="s">
        <v>134</v>
      </c>
      <c r="G9" s="7" t="s">
        <v>135</v>
      </c>
    </row>
    <row r="10" spans="1:7">
      <c r="A10" s="9" t="s">
        <v>519</v>
      </c>
      <c r="B10" s="1" t="s">
        <v>164</v>
      </c>
      <c r="C10" s="4">
        <v>18</v>
      </c>
      <c r="E10" s="5" t="s">
        <v>137</v>
      </c>
      <c r="F10">
        <v>18</v>
      </c>
      <c r="G10" s="6">
        <f>F10/F16</f>
        <v>0.25</v>
      </c>
    </row>
    <row r="11" spans="1:7">
      <c r="A11" s="9" t="s">
        <v>520</v>
      </c>
      <c r="B11" s="1" t="s">
        <v>164</v>
      </c>
      <c r="C11" s="4">
        <v>18</v>
      </c>
      <c r="E11" s="5" t="s">
        <v>139</v>
      </c>
      <c r="F11">
        <v>12</v>
      </c>
      <c r="G11" s="6">
        <f>F11/$F$16</f>
        <v>0.16666666666666666</v>
      </c>
    </row>
    <row r="12" spans="1:7">
      <c r="A12" s="2" t="s">
        <v>521</v>
      </c>
      <c r="B12" s="3" t="s">
        <v>164</v>
      </c>
      <c r="C12" s="4">
        <v>18</v>
      </c>
      <c r="E12" s="5" t="s">
        <v>140</v>
      </c>
      <c r="F12">
        <v>19</v>
      </c>
      <c r="G12" s="6">
        <f>F12/$F$16</f>
        <v>0.2638888888888889</v>
      </c>
    </row>
    <row r="13" spans="1:7">
      <c r="A13" s="9" t="s">
        <v>522</v>
      </c>
      <c r="B13" s="3" t="s">
        <v>164</v>
      </c>
      <c r="C13" s="4">
        <v>18</v>
      </c>
      <c r="E13" s="5" t="s">
        <v>141</v>
      </c>
      <c r="F13">
        <v>10</v>
      </c>
      <c r="G13" s="6">
        <f>F13/$F$16</f>
        <v>0.1388888888888889</v>
      </c>
    </row>
    <row r="14" spans="1:7">
      <c r="A14" s="9" t="s">
        <v>523</v>
      </c>
      <c r="B14" s="1" t="s">
        <v>166</v>
      </c>
      <c r="C14" s="4">
        <v>17</v>
      </c>
      <c r="E14" s="5" t="s">
        <v>142</v>
      </c>
      <c r="F14">
        <v>7</v>
      </c>
      <c r="G14" s="6">
        <f>F14/$F$16</f>
        <v>9.7222222222222224E-2</v>
      </c>
    </row>
    <row r="15" spans="1:7">
      <c r="A15" s="9" t="s">
        <v>524</v>
      </c>
      <c r="B15" s="3" t="s">
        <v>166</v>
      </c>
      <c r="C15" s="4">
        <v>17</v>
      </c>
      <c r="E15" s="5" t="s">
        <v>143</v>
      </c>
      <c r="F15">
        <v>6</v>
      </c>
      <c r="G15" s="6">
        <f>F15/$F$16</f>
        <v>8.3333333333333329E-2</v>
      </c>
    </row>
    <row r="16" spans="1:7">
      <c r="A16" s="9" t="s">
        <v>525</v>
      </c>
      <c r="B16" s="1" t="s">
        <v>166</v>
      </c>
      <c r="C16" s="4">
        <v>17</v>
      </c>
      <c r="E16" s="5" t="s">
        <v>144</v>
      </c>
      <c r="F16">
        <f>SUM(F10:F15)</f>
        <v>72</v>
      </c>
    </row>
    <row r="17" spans="1:7">
      <c r="A17" s="9" t="s">
        <v>431</v>
      </c>
      <c r="B17" s="1" t="s">
        <v>166</v>
      </c>
      <c r="C17" s="4">
        <v>17</v>
      </c>
      <c r="E17" s="5"/>
      <c r="G17" s="6"/>
    </row>
    <row r="18" spans="1:7">
      <c r="A18" s="9" t="s">
        <v>347</v>
      </c>
      <c r="B18" s="3" t="s">
        <v>166</v>
      </c>
      <c r="C18" s="4">
        <v>17</v>
      </c>
      <c r="E18" s="5"/>
      <c r="G18" s="6"/>
    </row>
    <row r="19" spans="1:7">
      <c r="A19" s="9" t="s">
        <v>526</v>
      </c>
      <c r="B19" s="3" t="s">
        <v>166</v>
      </c>
      <c r="C19" s="4">
        <v>17</v>
      </c>
      <c r="E19" s="5"/>
      <c r="G19" s="6"/>
    </row>
    <row r="20" spans="1:7">
      <c r="A20" s="9" t="s">
        <v>527</v>
      </c>
      <c r="B20" s="1" t="s">
        <v>166</v>
      </c>
      <c r="C20" s="4">
        <v>17</v>
      </c>
      <c r="E20" s="5"/>
      <c r="G20" s="6"/>
    </row>
    <row r="21" spans="1:7">
      <c r="A21" s="9" t="s">
        <v>528</v>
      </c>
      <c r="B21" s="20" t="s">
        <v>166</v>
      </c>
      <c r="C21" s="4">
        <v>17</v>
      </c>
      <c r="E21" s="5"/>
    </row>
    <row r="22" spans="1:7">
      <c r="A22" s="9" t="s">
        <v>529</v>
      </c>
      <c r="B22" s="1" t="s">
        <v>166</v>
      </c>
      <c r="C22" s="4">
        <v>17</v>
      </c>
    </row>
    <row r="23" spans="1:7">
      <c r="A23" s="9" t="s">
        <v>530</v>
      </c>
      <c r="B23" s="1" t="s">
        <v>166</v>
      </c>
      <c r="C23" s="4">
        <v>17</v>
      </c>
    </row>
    <row r="24" spans="1:7">
      <c r="A24" s="9" t="s">
        <v>291</v>
      </c>
      <c r="B24" s="3" t="s">
        <v>166</v>
      </c>
      <c r="C24" s="4">
        <v>17</v>
      </c>
    </row>
    <row r="25" spans="1:7">
      <c r="A25" s="9" t="s">
        <v>531</v>
      </c>
      <c r="B25" s="3" t="s">
        <v>166</v>
      </c>
      <c r="C25" s="4">
        <v>17</v>
      </c>
    </row>
    <row r="26" spans="1:7">
      <c r="A26" s="9" t="s">
        <v>532</v>
      </c>
      <c r="B26" s="1" t="s">
        <v>166</v>
      </c>
      <c r="C26" s="4">
        <v>17</v>
      </c>
    </row>
    <row r="27" spans="1:7">
      <c r="A27" s="25" t="s">
        <v>533</v>
      </c>
      <c r="B27" s="19" t="s">
        <v>139</v>
      </c>
      <c r="C27" s="16">
        <v>16</v>
      </c>
    </row>
    <row r="28" spans="1:7">
      <c r="A28" s="25" t="s">
        <v>534</v>
      </c>
      <c r="B28" s="19" t="s">
        <v>139</v>
      </c>
      <c r="C28" s="16">
        <v>16</v>
      </c>
    </row>
    <row r="29" spans="1:7">
      <c r="A29" s="25" t="s">
        <v>535</v>
      </c>
      <c r="B29" s="19" t="s">
        <v>139</v>
      </c>
      <c r="C29" s="16">
        <v>16</v>
      </c>
    </row>
    <row r="30" spans="1:7">
      <c r="A30" s="26" t="s">
        <v>536</v>
      </c>
      <c r="B30" s="15" t="s">
        <v>139</v>
      </c>
      <c r="C30" s="16">
        <v>16</v>
      </c>
    </row>
    <row r="31" spans="1:7">
      <c r="A31" s="26" t="s">
        <v>537</v>
      </c>
      <c r="B31" s="15" t="s">
        <v>139</v>
      </c>
      <c r="C31" s="16">
        <v>16</v>
      </c>
    </row>
    <row r="32" spans="1:7">
      <c r="A32" s="25" t="s">
        <v>538</v>
      </c>
      <c r="B32" s="19" t="s">
        <v>139</v>
      </c>
      <c r="C32" s="16">
        <v>16</v>
      </c>
    </row>
    <row r="33" spans="1:5">
      <c r="A33" s="25" t="s">
        <v>539</v>
      </c>
      <c r="B33" s="15" t="s">
        <v>139</v>
      </c>
      <c r="C33" s="16">
        <v>16</v>
      </c>
    </row>
    <row r="34" spans="1:5">
      <c r="A34" s="25" t="s">
        <v>540</v>
      </c>
      <c r="B34" s="15" t="s">
        <v>139</v>
      </c>
      <c r="C34" s="16">
        <v>16</v>
      </c>
    </row>
    <row r="35" spans="1:5">
      <c r="A35" s="25" t="s">
        <v>541</v>
      </c>
      <c r="B35" s="19" t="s">
        <v>139</v>
      </c>
      <c r="C35" s="16">
        <v>16</v>
      </c>
    </row>
    <row r="36" spans="1:5">
      <c r="A36" s="25" t="s">
        <v>542</v>
      </c>
      <c r="B36" s="19" t="s">
        <v>139</v>
      </c>
      <c r="C36" s="16">
        <v>16</v>
      </c>
    </row>
    <row r="37" spans="1:5">
      <c r="A37" s="25" t="s">
        <v>543</v>
      </c>
      <c r="B37" s="19" t="s">
        <v>139</v>
      </c>
      <c r="C37" s="16">
        <v>16</v>
      </c>
    </row>
    <row r="38" spans="1:5">
      <c r="A38" s="25" t="s">
        <v>544</v>
      </c>
      <c r="B38" s="23" t="s">
        <v>139</v>
      </c>
      <c r="C38" s="16">
        <v>16</v>
      </c>
    </row>
    <row r="39" spans="1:5">
      <c r="A39" s="9" t="s">
        <v>545</v>
      </c>
      <c r="B39" s="1" t="s">
        <v>140</v>
      </c>
      <c r="C39" s="4">
        <v>15</v>
      </c>
    </row>
    <row r="40" spans="1:5">
      <c r="A40" s="9" t="s">
        <v>249</v>
      </c>
      <c r="B40" s="1" t="s">
        <v>140</v>
      </c>
      <c r="C40" s="4">
        <v>15</v>
      </c>
      <c r="E40" s="2" t="s">
        <v>546</v>
      </c>
    </row>
    <row r="41" spans="1:5">
      <c r="A41" s="9" t="s">
        <v>547</v>
      </c>
      <c r="B41" s="3" t="s">
        <v>140</v>
      </c>
      <c r="C41" s="4">
        <v>15</v>
      </c>
    </row>
    <row r="42" spans="1:5">
      <c r="A42" s="9" t="s">
        <v>254</v>
      </c>
      <c r="B42" s="1" t="s">
        <v>140</v>
      </c>
      <c r="C42" s="4">
        <v>15</v>
      </c>
    </row>
    <row r="43" spans="1:5">
      <c r="A43" s="9" t="s">
        <v>548</v>
      </c>
      <c r="B43" s="1" t="s">
        <v>140</v>
      </c>
      <c r="C43" s="4">
        <v>15</v>
      </c>
    </row>
    <row r="44" spans="1:5">
      <c r="A44" s="9" t="s">
        <v>549</v>
      </c>
      <c r="B44" s="3" t="s">
        <v>140</v>
      </c>
      <c r="C44" s="4">
        <v>15</v>
      </c>
      <c r="E44" s="2"/>
    </row>
    <row r="45" spans="1:5">
      <c r="A45" s="9" t="s">
        <v>259</v>
      </c>
      <c r="B45" s="1" t="s">
        <v>140</v>
      </c>
      <c r="C45" s="4">
        <v>15</v>
      </c>
    </row>
    <row r="46" spans="1:5">
      <c r="A46" s="9" t="s">
        <v>450</v>
      </c>
      <c r="B46" s="1" t="s">
        <v>140</v>
      </c>
      <c r="C46" s="4">
        <v>15</v>
      </c>
    </row>
    <row r="47" spans="1:5">
      <c r="A47" s="9" t="s">
        <v>550</v>
      </c>
      <c r="B47" s="1" t="s">
        <v>140</v>
      </c>
      <c r="C47" s="4">
        <v>15</v>
      </c>
    </row>
    <row r="48" spans="1:5">
      <c r="A48" s="9" t="s">
        <v>551</v>
      </c>
      <c r="B48" s="3" t="s">
        <v>140</v>
      </c>
      <c r="C48" s="4">
        <v>15</v>
      </c>
    </row>
    <row r="49" spans="1:3">
      <c r="A49" s="9" t="s">
        <v>552</v>
      </c>
      <c r="B49" s="1" t="s">
        <v>140</v>
      </c>
      <c r="C49" s="4">
        <v>15</v>
      </c>
    </row>
    <row r="50" spans="1:3">
      <c r="A50" s="9" t="s">
        <v>553</v>
      </c>
      <c r="B50" s="1" t="s">
        <v>140</v>
      </c>
      <c r="C50" s="4">
        <v>15</v>
      </c>
    </row>
    <row r="51" spans="1:3">
      <c r="A51" s="9" t="s">
        <v>394</v>
      </c>
      <c r="B51" s="3" t="s">
        <v>140</v>
      </c>
      <c r="C51" s="4">
        <v>15</v>
      </c>
    </row>
    <row r="52" spans="1:3">
      <c r="A52" s="9" t="s">
        <v>554</v>
      </c>
      <c r="B52" s="1" t="s">
        <v>140</v>
      </c>
      <c r="C52" s="4">
        <v>15</v>
      </c>
    </row>
    <row r="53" spans="1:3">
      <c r="A53" s="9" t="s">
        <v>555</v>
      </c>
      <c r="B53" s="20" t="s">
        <v>140</v>
      </c>
      <c r="C53" s="4">
        <v>15</v>
      </c>
    </row>
    <row r="54" spans="1:3">
      <c r="A54" s="9" t="s">
        <v>556</v>
      </c>
      <c r="B54" s="3" t="s">
        <v>140</v>
      </c>
      <c r="C54" s="4">
        <v>15</v>
      </c>
    </row>
    <row r="55" spans="1:3">
      <c r="A55" s="9" t="s">
        <v>557</v>
      </c>
      <c r="B55" s="3" t="s">
        <v>140</v>
      </c>
      <c r="C55" s="4">
        <v>15</v>
      </c>
    </row>
    <row r="56" spans="1:3">
      <c r="A56" s="9" t="s">
        <v>558</v>
      </c>
      <c r="B56" s="3" t="s">
        <v>140</v>
      </c>
      <c r="C56" s="4">
        <v>15</v>
      </c>
    </row>
    <row r="57" spans="1:3">
      <c r="A57" s="9" t="s">
        <v>559</v>
      </c>
      <c r="B57" s="3" t="s">
        <v>140</v>
      </c>
      <c r="C57" s="4">
        <v>15</v>
      </c>
    </row>
    <row r="58" spans="1:3">
      <c r="A58" s="25" t="s">
        <v>560</v>
      </c>
      <c r="B58" s="19" t="s">
        <v>141</v>
      </c>
      <c r="C58" s="16">
        <v>14</v>
      </c>
    </row>
    <row r="59" spans="1:3">
      <c r="A59" s="25" t="s">
        <v>493</v>
      </c>
      <c r="B59" s="19" t="s">
        <v>141</v>
      </c>
      <c r="C59" s="16">
        <v>14</v>
      </c>
    </row>
    <row r="60" spans="1:3">
      <c r="A60" s="25" t="s">
        <v>561</v>
      </c>
      <c r="B60" s="19" t="s">
        <v>141</v>
      </c>
      <c r="C60" s="16">
        <v>14</v>
      </c>
    </row>
    <row r="61" spans="1:3">
      <c r="A61" s="25" t="s">
        <v>562</v>
      </c>
      <c r="B61" s="15" t="s">
        <v>141</v>
      </c>
      <c r="C61" s="16">
        <v>14</v>
      </c>
    </row>
    <row r="62" spans="1:3">
      <c r="A62" s="25" t="s">
        <v>563</v>
      </c>
      <c r="B62" s="15" t="s">
        <v>141</v>
      </c>
      <c r="C62" s="16">
        <v>14</v>
      </c>
    </row>
    <row r="63" spans="1:3">
      <c r="A63" s="25" t="s">
        <v>486</v>
      </c>
      <c r="B63" s="15" t="s">
        <v>141</v>
      </c>
      <c r="C63" s="16">
        <v>14</v>
      </c>
    </row>
    <row r="64" spans="1:3">
      <c r="A64" s="25" t="s">
        <v>564</v>
      </c>
      <c r="B64" s="15" t="s">
        <v>141</v>
      </c>
      <c r="C64" s="16">
        <v>14</v>
      </c>
    </row>
    <row r="65" spans="1:3">
      <c r="A65" s="25" t="s">
        <v>565</v>
      </c>
      <c r="B65" s="19" t="s">
        <v>141</v>
      </c>
      <c r="C65" s="16">
        <v>14</v>
      </c>
    </row>
    <row r="66" spans="1:3">
      <c r="A66" s="25" t="s">
        <v>566</v>
      </c>
      <c r="B66" s="15" t="s">
        <v>141</v>
      </c>
      <c r="C66" s="16">
        <v>14</v>
      </c>
    </row>
    <row r="67" spans="1:3">
      <c r="A67" s="25" t="s">
        <v>567</v>
      </c>
      <c r="B67" s="15" t="s">
        <v>141</v>
      </c>
      <c r="C67" s="16">
        <v>14</v>
      </c>
    </row>
    <row r="68" spans="1:3">
      <c r="A68" s="9" t="s">
        <v>568</v>
      </c>
      <c r="B68" s="3" t="s">
        <v>142</v>
      </c>
      <c r="C68" s="4">
        <v>13</v>
      </c>
    </row>
    <row r="69" spans="1:3">
      <c r="A69" s="9" t="s">
        <v>569</v>
      </c>
      <c r="B69" s="1" t="s">
        <v>142</v>
      </c>
      <c r="C69" s="4">
        <v>13</v>
      </c>
    </row>
    <row r="70" spans="1:3">
      <c r="A70" s="9" t="s">
        <v>570</v>
      </c>
      <c r="B70" s="1" t="s">
        <v>571</v>
      </c>
      <c r="C70" s="4">
        <v>13</v>
      </c>
    </row>
    <row r="71" spans="1:3">
      <c r="A71" s="9" t="s">
        <v>572</v>
      </c>
      <c r="B71" s="1" t="s">
        <v>142</v>
      </c>
      <c r="C71" s="4">
        <v>13</v>
      </c>
    </row>
    <row r="72" spans="1:3">
      <c r="A72" s="9" t="s">
        <v>573</v>
      </c>
      <c r="B72" s="1" t="s">
        <v>142</v>
      </c>
      <c r="C72" s="4">
        <v>13</v>
      </c>
    </row>
    <row r="73" spans="1:3">
      <c r="A73" s="9" t="s">
        <v>574</v>
      </c>
      <c r="B73" s="1" t="s">
        <v>142</v>
      </c>
      <c r="C73" s="4">
        <v>13</v>
      </c>
    </row>
    <row r="74" spans="1:3">
      <c r="A74" s="9" t="s">
        <v>303</v>
      </c>
      <c r="B74" s="20" t="s">
        <v>142</v>
      </c>
      <c r="C74" s="4">
        <v>13</v>
      </c>
    </row>
    <row r="75" spans="1:3">
      <c r="A75" s="25" t="s">
        <v>575</v>
      </c>
      <c r="B75" s="15" t="s">
        <v>173</v>
      </c>
      <c r="C75" s="16">
        <v>12</v>
      </c>
    </row>
    <row r="76" spans="1:3">
      <c r="A76" s="26" t="s">
        <v>576</v>
      </c>
      <c r="B76" s="15" t="s">
        <v>173</v>
      </c>
      <c r="C76" s="16">
        <v>12</v>
      </c>
    </row>
    <row r="77" spans="1:3">
      <c r="A77" s="25" t="s">
        <v>577</v>
      </c>
      <c r="B77" s="19" t="s">
        <v>175</v>
      </c>
      <c r="C77" s="16">
        <v>11</v>
      </c>
    </row>
    <row r="78" spans="1:3">
      <c r="A78" s="25" t="s">
        <v>578</v>
      </c>
      <c r="B78" s="23" t="s">
        <v>175</v>
      </c>
      <c r="C78" s="16">
        <v>11</v>
      </c>
    </row>
    <row r="79" spans="1:3">
      <c r="A79" s="25" t="s">
        <v>265</v>
      </c>
      <c r="B79" s="19" t="s">
        <v>191</v>
      </c>
      <c r="C79" s="16">
        <v>3</v>
      </c>
    </row>
    <row r="80" spans="1:3">
      <c r="A80" s="25" t="s">
        <v>579</v>
      </c>
      <c r="B80" s="23" t="s">
        <v>194</v>
      </c>
      <c r="C80" s="16">
        <v>1</v>
      </c>
    </row>
    <row r="81" spans="1:3">
      <c r="A81" s="9" t="s">
        <v>580</v>
      </c>
      <c r="B81" s="1"/>
    </row>
    <row r="82" spans="1:3">
      <c r="A82" s="9" t="s">
        <v>295</v>
      </c>
      <c r="B82" s="3"/>
    </row>
    <row r="83" spans="1:3">
      <c r="A83" s="27" t="s">
        <v>308</v>
      </c>
      <c r="B83" s="1"/>
    </row>
    <row r="84" spans="1:3">
      <c r="A84" s="9" t="s">
        <v>581</v>
      </c>
      <c r="B84" s="1"/>
    </row>
    <row r="85" spans="1:3">
      <c r="A85" s="20" t="s">
        <v>582</v>
      </c>
      <c r="B85" s="28" t="s">
        <v>140</v>
      </c>
      <c r="C85" s="21">
        <f>SUM(C9:C80)/72</f>
        <v>14.847222222222221</v>
      </c>
    </row>
    <row r="86" spans="1:3">
      <c r="A86" s="3"/>
    </row>
    <row r="87" spans="1:3">
      <c r="A87" s="1" t="s">
        <v>583</v>
      </c>
    </row>
    <row r="88" spans="1:3">
      <c r="A88" s="1" t="s">
        <v>584</v>
      </c>
    </row>
    <row r="89" spans="1:3">
      <c r="A89" s="1" t="s">
        <v>585</v>
      </c>
    </row>
    <row r="91" spans="1:3">
      <c r="A91" s="1" t="s">
        <v>586</v>
      </c>
    </row>
    <row r="92" spans="1:3">
      <c r="A92" s="2" t="s">
        <v>587</v>
      </c>
    </row>
    <row r="93" spans="1:3">
      <c r="A93" s="2" t="s">
        <v>588</v>
      </c>
    </row>
    <row r="94" spans="1:3">
      <c r="A94" s="2" t="s">
        <v>589</v>
      </c>
    </row>
    <row r="95" spans="1:3">
      <c r="A95" s="2" t="s">
        <v>590</v>
      </c>
    </row>
    <row r="96" spans="1:3">
      <c r="A96" s="2" t="s">
        <v>591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44196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322">
        <v>1</v>
      </c>
      <c r="C7" s="323" t="s">
        <v>217</v>
      </c>
      <c r="D7" s="324" t="s">
        <v>218</v>
      </c>
      <c r="E7" s="325" t="s">
        <v>204</v>
      </c>
      <c r="F7" s="317">
        <v>0.68974131413733031</v>
      </c>
    </row>
    <row r="8" spans="1:6" s="161" customFormat="1">
      <c r="B8" s="322">
        <v>2</v>
      </c>
      <c r="C8" s="323" t="s">
        <v>219</v>
      </c>
      <c r="D8" s="324" t="s">
        <v>220</v>
      </c>
      <c r="E8" s="325" t="s">
        <v>203</v>
      </c>
      <c r="F8" s="317">
        <v>0.89051383399209483</v>
      </c>
    </row>
    <row r="9" spans="1:6" s="161" customFormat="1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0.93051641215891578</v>
      </c>
    </row>
    <row r="11" spans="1:6" s="161" customFormat="1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0.65018639452185178</v>
      </c>
    </row>
    <row r="12" spans="1:6" s="161" customFormat="1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0.98472594214052056</v>
      </c>
    </row>
    <row r="13" spans="1:6" s="161" customFormat="1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0.92685503115053358</v>
      </c>
    </row>
    <row r="14" spans="1:6" s="161" customFormat="1">
      <c r="B14" s="322">
        <v>8</v>
      </c>
      <c r="C14" s="323" t="s">
        <v>249</v>
      </c>
      <c r="D14" s="324" t="s">
        <v>250</v>
      </c>
      <c r="E14" s="325" t="s">
        <v>203</v>
      </c>
      <c r="F14" s="317">
        <v>0.82685116874630427</v>
      </c>
    </row>
    <row r="15" spans="1:6" s="161" customFormat="1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0.85141239128969193</v>
      </c>
    </row>
    <row r="16" spans="1:6" s="161" customFormat="1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0.84181572462039911</v>
      </c>
    </row>
    <row r="17" spans="2:6" s="161" customFormat="1">
      <c r="B17" s="322">
        <v>11</v>
      </c>
      <c r="C17" s="323" t="s">
        <v>258</v>
      </c>
      <c r="D17" s="324" t="s">
        <v>194</v>
      </c>
      <c r="E17" s="325" t="s">
        <v>203</v>
      </c>
      <c r="F17" s="317">
        <v>0.82477451644856892</v>
      </c>
    </row>
    <row r="18" spans="2:6" s="161" customFormat="1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0.72373395463337431</v>
      </c>
    </row>
    <row r="19" spans="2:6" s="161" customFormat="1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0.93370447430791104</v>
      </c>
    </row>
    <row r="20" spans="2:6" s="161" customFormat="1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>
      <c r="B21" s="322">
        <v>15</v>
      </c>
      <c r="C21" s="323" t="s">
        <v>267</v>
      </c>
      <c r="D21" s="324" t="s">
        <v>268</v>
      </c>
      <c r="E21" s="325" t="s">
        <v>203</v>
      </c>
      <c r="F21" s="317">
        <v>0.97001286693233424</v>
      </c>
    </row>
    <row r="22" spans="2:6" s="161" customFormat="1">
      <c r="B22" s="322">
        <v>16</v>
      </c>
      <c r="C22" s="323" t="s">
        <v>230</v>
      </c>
      <c r="D22" s="324" t="s">
        <v>231</v>
      </c>
      <c r="E22" s="325" t="s">
        <v>203</v>
      </c>
      <c r="F22" s="317">
        <v>1</v>
      </c>
    </row>
    <row r="23" spans="2:6" s="161" customFormat="1">
      <c r="B23" s="322">
        <v>17</v>
      </c>
      <c r="C23" s="323" t="s">
        <v>235</v>
      </c>
      <c r="D23" s="324" t="s">
        <v>236</v>
      </c>
      <c r="E23" s="325" t="s">
        <v>203</v>
      </c>
      <c r="F23" s="317">
        <v>0.93552659613213984</v>
      </c>
    </row>
    <row r="24" spans="2:6" s="161" customFormat="1">
      <c r="B24" s="322">
        <v>18</v>
      </c>
      <c r="C24" s="323" t="s">
        <v>269</v>
      </c>
      <c r="D24" s="324" t="s">
        <v>270</v>
      </c>
      <c r="E24" s="325" t="s">
        <v>204</v>
      </c>
      <c r="F24" s="317">
        <v>0.63706241252116891</v>
      </c>
    </row>
    <row r="25" spans="2:6" s="161" customFormat="1">
      <c r="B25" s="322">
        <v>19</v>
      </c>
      <c r="C25" s="323" t="s">
        <v>275</v>
      </c>
      <c r="D25" s="324" t="s">
        <v>276</v>
      </c>
      <c r="E25" s="325" t="s">
        <v>203</v>
      </c>
      <c r="F25" s="317">
        <v>0.97712756387189637</v>
      </c>
    </row>
    <row r="26" spans="2:6" s="161" customFormat="1">
      <c r="B26" s="322">
        <v>20</v>
      </c>
      <c r="C26" s="323" t="s">
        <v>279</v>
      </c>
      <c r="D26" s="324" t="s">
        <v>280</v>
      </c>
      <c r="E26" s="325" t="s">
        <v>204</v>
      </c>
      <c r="F26" s="317">
        <v>0.43037656540682762</v>
      </c>
    </row>
    <row r="27" spans="2:6" s="161" customFormat="1">
      <c r="B27" s="322">
        <v>21</v>
      </c>
      <c r="C27" s="323" t="s">
        <v>283</v>
      </c>
      <c r="D27" s="324" t="s">
        <v>284</v>
      </c>
      <c r="E27" s="325" t="s">
        <v>203</v>
      </c>
      <c r="F27" s="317">
        <v>0.97334355238523151</v>
      </c>
    </row>
    <row r="28" spans="2:6" s="161" customFormat="1">
      <c r="B28" s="322">
        <v>22</v>
      </c>
      <c r="C28" s="323" t="s">
        <v>271</v>
      </c>
      <c r="D28" s="324" t="s">
        <v>272</v>
      </c>
      <c r="E28" s="325" t="s">
        <v>204</v>
      </c>
      <c r="F28" s="317">
        <v>0.54964094543254671</v>
      </c>
    </row>
    <row r="29" spans="2:6" s="161" customFormat="1">
      <c r="B29" s="322">
        <v>23</v>
      </c>
      <c r="C29" s="323" t="s">
        <v>308</v>
      </c>
      <c r="D29" s="324" t="s">
        <v>461</v>
      </c>
      <c r="E29" s="325" t="s">
        <v>203</v>
      </c>
      <c r="F29" s="317">
        <v>0.86104015217972951</v>
      </c>
    </row>
    <row r="30" spans="2:6" s="161" customFormat="1">
      <c r="B30" s="322">
        <v>24</v>
      </c>
      <c r="C30" s="323" t="s">
        <v>240</v>
      </c>
      <c r="D30" s="324" t="s">
        <v>241</v>
      </c>
      <c r="E30" s="325" t="s">
        <v>204</v>
      </c>
      <c r="F30" s="317">
        <v>0.53518843394630489</v>
      </c>
    </row>
    <row r="31" spans="2:6" s="161" customFormat="1">
      <c r="B31" s="322">
        <v>25</v>
      </c>
      <c r="C31" s="323" t="s">
        <v>273</v>
      </c>
      <c r="D31" s="324" t="s">
        <v>274</v>
      </c>
      <c r="E31" s="325" t="s">
        <v>203</v>
      </c>
      <c r="F31" s="317">
        <v>0.9017989610036069</v>
      </c>
    </row>
    <row r="32" spans="2:6" s="161" customFormat="1">
      <c r="B32" s="322">
        <v>26</v>
      </c>
      <c r="C32" s="323" t="s">
        <v>297</v>
      </c>
      <c r="D32" s="324" t="s">
        <v>298</v>
      </c>
      <c r="E32" s="325" t="s">
        <v>203</v>
      </c>
      <c r="F32" s="317">
        <v>0.99818137682920705</v>
      </c>
    </row>
    <row r="33" spans="2:6" s="161" customFormat="1">
      <c r="B33" s="322">
        <v>27</v>
      </c>
      <c r="C33" s="323" t="s">
        <v>277</v>
      </c>
      <c r="D33" s="324" t="s">
        <v>278</v>
      </c>
      <c r="E33" s="325" t="s">
        <v>203</v>
      </c>
      <c r="F33" s="317">
        <v>0.97856103295144981</v>
      </c>
    </row>
    <row r="34" spans="2:6" s="161" customFormat="1">
      <c r="B34" s="322">
        <v>28</v>
      </c>
      <c r="C34" s="323" t="s">
        <v>299</v>
      </c>
      <c r="D34" s="324" t="s">
        <v>300</v>
      </c>
      <c r="E34" s="325" t="s">
        <v>203</v>
      </c>
      <c r="F34" s="317">
        <v>0.86621115641994861</v>
      </c>
    </row>
    <row r="35" spans="2:6" s="161" customFormat="1">
      <c r="B35" s="322">
        <v>29</v>
      </c>
      <c r="C35" s="323" t="s">
        <v>301</v>
      </c>
      <c r="D35" s="324" t="s">
        <v>302</v>
      </c>
      <c r="E35" s="325" t="s">
        <v>203</v>
      </c>
      <c r="F35" s="317">
        <v>1</v>
      </c>
    </row>
    <row r="36" spans="2:6" s="161" customFormat="1">
      <c r="B36" s="322">
        <v>30</v>
      </c>
      <c r="C36" s="323" t="s">
        <v>281</v>
      </c>
      <c r="D36" s="324" t="s">
        <v>282</v>
      </c>
      <c r="E36" s="325" t="s">
        <v>203</v>
      </c>
      <c r="F36" s="317">
        <v>0.99519640471096993</v>
      </c>
    </row>
    <row r="37" spans="2:6" s="161" customFormat="1">
      <c r="B37" s="322">
        <v>31</v>
      </c>
      <c r="C37" s="323" t="s">
        <v>303</v>
      </c>
      <c r="D37" s="324" t="s">
        <v>304</v>
      </c>
      <c r="E37" s="325" t="s">
        <v>203</v>
      </c>
      <c r="F37" s="317">
        <v>1</v>
      </c>
    </row>
    <row r="38" spans="2:6" s="161" customFormat="1">
      <c r="B38" s="322">
        <v>32</v>
      </c>
      <c r="C38" s="323" t="s">
        <v>285</v>
      </c>
      <c r="D38" s="324" t="s">
        <v>286</v>
      </c>
      <c r="E38" s="325" t="s">
        <v>203</v>
      </c>
      <c r="F38" s="317">
        <v>1</v>
      </c>
    </row>
    <row r="39" spans="2:6" s="161" customFormat="1">
      <c r="B39" s="322">
        <v>33</v>
      </c>
      <c r="C39" s="323" t="s">
        <v>243</v>
      </c>
      <c r="D39" s="324" t="s">
        <v>244</v>
      </c>
      <c r="E39" s="325" t="s">
        <v>203</v>
      </c>
      <c r="F39" s="317">
        <v>0.98478676531715026</v>
      </c>
    </row>
    <row r="40" spans="2:6" s="161" customFormat="1">
      <c r="B40" s="322">
        <v>34</v>
      </c>
      <c r="C40" s="323" t="s">
        <v>289</v>
      </c>
      <c r="D40" s="324" t="s">
        <v>290</v>
      </c>
      <c r="E40" s="325" t="s">
        <v>204</v>
      </c>
      <c r="F40" s="317">
        <v>0.71090909090909093</v>
      </c>
    </row>
    <row r="41" spans="2:6" s="161" customFormat="1">
      <c r="B41" s="322">
        <v>35</v>
      </c>
      <c r="C41" s="323" t="s">
        <v>291</v>
      </c>
      <c r="D41" s="324" t="s">
        <v>292</v>
      </c>
      <c r="E41" s="325" t="s">
        <v>203</v>
      </c>
      <c r="F41" s="317">
        <v>0.80767166825480874</v>
      </c>
    </row>
    <row r="42" spans="2:6" s="161" customFormat="1">
      <c r="B42" s="322">
        <v>36</v>
      </c>
      <c r="C42" s="323" t="s">
        <v>293</v>
      </c>
      <c r="D42" s="324" t="s">
        <v>294</v>
      </c>
      <c r="E42" s="325" t="s">
        <v>203</v>
      </c>
      <c r="F42" s="317">
        <v>0.85066091837149715</v>
      </c>
    </row>
    <row r="43" spans="2:6" s="161" customFormat="1">
      <c r="B43" s="322">
        <v>37</v>
      </c>
      <c r="C43" s="323" t="s">
        <v>295</v>
      </c>
      <c r="D43" s="324" t="s">
        <v>296</v>
      </c>
      <c r="E43" s="325" t="s">
        <v>203</v>
      </c>
      <c r="F43" s="317">
        <v>0.9866026118140605</v>
      </c>
    </row>
    <row r="44" spans="2:6" s="161" customFormat="1">
      <c r="B44" s="322">
        <v>38</v>
      </c>
      <c r="C44" s="323" t="s">
        <v>595</v>
      </c>
      <c r="D44" s="324" t="s">
        <v>248</v>
      </c>
      <c r="E44" s="325" t="s">
        <v>203</v>
      </c>
      <c r="F44" s="317">
        <v>0.94987050375255555</v>
      </c>
    </row>
    <row r="45" spans="2:6" s="161" customFormat="1">
      <c r="B45" s="322">
        <v>39</v>
      </c>
      <c r="C45" s="323" t="s">
        <v>251</v>
      </c>
      <c r="D45" s="324" t="s">
        <v>252</v>
      </c>
      <c r="E45" s="325" t="s">
        <v>203</v>
      </c>
      <c r="F45" s="317">
        <v>0.9923670743342875</v>
      </c>
    </row>
    <row r="46" spans="2:6" s="161" customFormat="1">
      <c r="B46" s="322"/>
      <c r="C46" s="323"/>
      <c r="D46" s="324"/>
      <c r="E46" s="325"/>
      <c r="F46" s="317"/>
    </row>
    <row r="47" spans="2:6" s="161" customFormat="1">
      <c r="B47" s="322"/>
      <c r="C47" s="323"/>
      <c r="D47" s="324"/>
      <c r="E47" s="325"/>
      <c r="F47" s="317"/>
    </row>
    <row r="48" spans="2:6" s="161" customFormat="1">
      <c r="B48" s="322"/>
      <c r="C48" s="323"/>
      <c r="D48" s="324"/>
      <c r="E48" s="325"/>
      <c r="F48" s="317"/>
    </row>
    <row r="49" spans="2:6" s="161" customFormat="1">
      <c r="B49" s="322"/>
      <c r="C49" s="323"/>
      <c r="D49" s="324"/>
      <c r="E49" s="325"/>
      <c r="F49" s="317"/>
    </row>
    <row r="50" spans="2:6" s="161" customFormat="1">
      <c r="B50" s="322"/>
      <c r="C50" s="323"/>
      <c r="D50" s="324"/>
      <c r="E50" s="325"/>
      <c r="F50" s="317"/>
    </row>
    <row r="51" spans="2:6" s="161" customFormat="1">
      <c r="B51" s="322"/>
      <c r="C51" s="323"/>
      <c r="D51" s="324"/>
      <c r="E51" s="325"/>
      <c r="F51" s="317"/>
    </row>
    <row r="52" spans="2:6" s="161" customFormat="1">
      <c r="B52" s="322"/>
      <c r="C52" s="323"/>
      <c r="D52" s="324"/>
      <c r="E52" s="325"/>
      <c r="F52" s="317"/>
    </row>
    <row r="53" spans="2:6" s="161" customFormat="1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0.79816601745944316</v>
      </c>
    </row>
    <row r="54" spans="2:6" s="161" customFormat="1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0.97282777146399424</v>
      </c>
    </row>
    <row r="55" spans="2:6" s="161" customFormat="1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0.77897272391080552</v>
      </c>
    </row>
    <row r="57" spans="2:6" s="161" customFormat="1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0.92067396198278173</v>
      </c>
    </row>
    <row r="58" spans="2:6" s="161" customFormat="1">
      <c r="B58" s="322"/>
      <c r="C58" s="323"/>
      <c r="D58" s="324"/>
      <c r="E58" s="325"/>
      <c r="F58" s="317"/>
    </row>
    <row r="59" spans="2:6" s="161" customFormat="1">
      <c r="B59" s="322"/>
      <c r="C59" s="323"/>
      <c r="D59" s="324"/>
      <c r="E59" s="325"/>
      <c r="F59" s="317"/>
    </row>
    <row r="60" spans="2:6" s="161" customFormat="1">
      <c r="B60" s="322"/>
      <c r="C60" s="323"/>
      <c r="D60" s="324"/>
      <c r="E60" s="325"/>
      <c r="F60" s="317"/>
    </row>
    <row r="61" spans="2:6" s="161" customFormat="1">
      <c r="B61" s="322"/>
      <c r="C61" s="323"/>
      <c r="D61" s="324"/>
      <c r="E61" s="325"/>
      <c r="F61" s="317"/>
    </row>
    <row r="62" spans="2:6" s="161" customFormat="1">
      <c r="B62" s="162"/>
      <c r="D62" s="163"/>
      <c r="E62" s="164"/>
      <c r="F62" s="317"/>
    </row>
    <row r="63" spans="2:6" s="161" customFormat="1">
      <c r="B63" s="162"/>
      <c r="D63" s="163"/>
      <c r="E63" s="164"/>
      <c r="F63" s="317"/>
    </row>
    <row r="64" spans="2:6" s="161" customFormat="1">
      <c r="B64" s="162"/>
      <c r="D64" s="163"/>
      <c r="E64" s="164"/>
      <c r="F64" s="317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3" sqref="E3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43830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322">
        <v>1</v>
      </c>
      <c r="C7" s="323" t="s">
        <v>217</v>
      </c>
      <c r="D7" s="324" t="s">
        <v>218</v>
      </c>
      <c r="E7" s="325" t="s">
        <v>204</v>
      </c>
      <c r="F7" s="317">
        <v>0.75341066608302332</v>
      </c>
    </row>
    <row r="8" spans="1:6" s="161" customFormat="1">
      <c r="B8" s="322">
        <v>2</v>
      </c>
      <c r="C8" s="323" t="s">
        <v>219</v>
      </c>
      <c r="D8" s="324" t="s">
        <v>220</v>
      </c>
      <c r="E8" s="325" t="s">
        <v>203</v>
      </c>
      <c r="F8" s="317">
        <v>0.89382480973851397</v>
      </c>
    </row>
    <row r="9" spans="1:6" s="161" customFormat="1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0.93724659813973221</v>
      </c>
    </row>
    <row r="11" spans="1:6" s="161" customFormat="1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0.67555788005578798</v>
      </c>
    </row>
    <row r="12" spans="1:6" s="161" customFormat="1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0.98392179080292563</v>
      </c>
    </row>
    <row r="13" spans="1:6" s="161" customFormat="1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0.91729330470491532</v>
      </c>
    </row>
    <row r="14" spans="1:6" s="161" customFormat="1">
      <c r="B14" s="322">
        <v>8</v>
      </c>
      <c r="C14" s="323" t="s">
        <v>249</v>
      </c>
      <c r="D14" s="324" t="s">
        <v>250</v>
      </c>
      <c r="E14" s="325" t="s">
        <v>203</v>
      </c>
      <c r="F14" s="317">
        <v>0.79954287649200029</v>
      </c>
    </row>
    <row r="15" spans="1:6" s="161" customFormat="1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0.8782650817900659</v>
      </c>
    </row>
    <row r="16" spans="1:6" s="161" customFormat="1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0.83854749565247333</v>
      </c>
    </row>
    <row r="17" spans="2:6" s="161" customFormat="1">
      <c r="B17" s="322">
        <v>11</v>
      </c>
      <c r="C17" s="323" t="s">
        <v>258</v>
      </c>
      <c r="D17" s="324" t="s">
        <v>194</v>
      </c>
      <c r="E17" s="325" t="s">
        <v>203</v>
      </c>
      <c r="F17" s="317">
        <v>0.81665445234489309</v>
      </c>
    </row>
    <row r="18" spans="2:6" s="161" customFormat="1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0.76827050264550267</v>
      </c>
    </row>
    <row r="19" spans="2:6" s="161" customFormat="1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0.93715188550416539</v>
      </c>
    </row>
    <row r="20" spans="2:6" s="161" customFormat="1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>
      <c r="B22" s="322">
        <v>16</v>
      </c>
      <c r="C22" s="323" t="s">
        <v>267</v>
      </c>
      <c r="D22" s="324" t="s">
        <v>268</v>
      </c>
      <c r="E22" s="325" t="s">
        <v>203</v>
      </c>
      <c r="F22" s="317">
        <v>0.95811902239722313</v>
      </c>
    </row>
    <row r="23" spans="2:6" s="161" customFormat="1">
      <c r="B23" s="322">
        <v>17</v>
      </c>
      <c r="C23" s="323" t="s">
        <v>230</v>
      </c>
      <c r="D23" s="324" t="s">
        <v>231</v>
      </c>
      <c r="E23" s="325" t="s">
        <v>203</v>
      </c>
      <c r="F23" s="317">
        <v>1</v>
      </c>
    </row>
    <row r="24" spans="2:6" s="161" customFormat="1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0.91896430580600108</v>
      </c>
    </row>
    <row r="25" spans="2:6" s="161" customFormat="1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0.62081022908215111</v>
      </c>
    </row>
    <row r="26" spans="2:6" s="161" customFormat="1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0.97522517198174985</v>
      </c>
    </row>
    <row r="27" spans="2:6" s="161" customFormat="1">
      <c r="B27" s="322">
        <v>21</v>
      </c>
      <c r="C27" s="323" t="s">
        <v>279</v>
      </c>
      <c r="D27" s="324" t="s">
        <v>280</v>
      </c>
      <c r="E27" s="325" t="s">
        <v>204</v>
      </c>
      <c r="F27" s="317">
        <v>0.4647919488701952</v>
      </c>
    </row>
    <row r="28" spans="2:6" s="161" customFormat="1">
      <c r="B28" s="322">
        <v>22</v>
      </c>
      <c r="C28" s="323" t="s">
        <v>283</v>
      </c>
      <c r="D28" s="324" t="s">
        <v>284</v>
      </c>
      <c r="E28" s="325" t="s">
        <v>203</v>
      </c>
      <c r="F28" s="317">
        <v>0.97785912517931628</v>
      </c>
    </row>
    <row r="29" spans="2:6" s="161" customFormat="1">
      <c r="B29" s="322">
        <v>23</v>
      </c>
      <c r="C29" s="323" t="s">
        <v>271</v>
      </c>
      <c r="D29" s="324" t="s">
        <v>272</v>
      </c>
      <c r="E29" s="325" t="s">
        <v>204</v>
      </c>
      <c r="F29" s="317">
        <v>0.55383656431637451</v>
      </c>
    </row>
    <row r="30" spans="2:6" s="161" customFormat="1">
      <c r="B30" s="322">
        <v>24</v>
      </c>
      <c r="C30" s="323" t="s">
        <v>308</v>
      </c>
      <c r="D30" s="324" t="s">
        <v>461</v>
      </c>
      <c r="E30" s="325" t="s">
        <v>203</v>
      </c>
      <c r="F30" s="317">
        <v>0.85890230123593436</v>
      </c>
    </row>
    <row r="31" spans="2:6" s="161" customFormat="1">
      <c r="B31" s="322">
        <v>25</v>
      </c>
      <c r="C31" s="323" t="s">
        <v>240</v>
      </c>
      <c r="D31" s="324" t="s">
        <v>241</v>
      </c>
      <c r="E31" s="325" t="s">
        <v>204</v>
      </c>
      <c r="F31" s="317">
        <v>0.53566542896228264</v>
      </c>
    </row>
    <row r="32" spans="2:6" s="161" customFormat="1">
      <c r="B32" s="322">
        <v>26</v>
      </c>
      <c r="C32" s="323" t="s">
        <v>273</v>
      </c>
      <c r="D32" s="324" t="s">
        <v>274</v>
      </c>
      <c r="E32" s="325" t="s">
        <v>203</v>
      </c>
      <c r="F32" s="317">
        <v>0.89374575238969445</v>
      </c>
    </row>
    <row r="33" spans="2:6" s="161" customFormat="1">
      <c r="B33" s="322">
        <v>27</v>
      </c>
      <c r="C33" s="323" t="s">
        <v>297</v>
      </c>
      <c r="D33" s="324" t="s">
        <v>298</v>
      </c>
      <c r="E33" s="325" t="s">
        <v>203</v>
      </c>
      <c r="F33" s="317">
        <v>0.99916164337740787</v>
      </c>
    </row>
    <row r="34" spans="2:6" s="161" customFormat="1">
      <c r="B34" s="322">
        <v>28</v>
      </c>
      <c r="C34" s="323" t="s">
        <v>277</v>
      </c>
      <c r="D34" s="324" t="s">
        <v>278</v>
      </c>
      <c r="E34" s="325" t="s">
        <v>203</v>
      </c>
      <c r="F34" s="317">
        <v>0.91403535825403892</v>
      </c>
    </row>
    <row r="35" spans="2:6" s="161" customFormat="1">
      <c r="B35" s="322">
        <v>29</v>
      </c>
      <c r="C35" s="323" t="s">
        <v>299</v>
      </c>
      <c r="D35" s="324" t="s">
        <v>300</v>
      </c>
      <c r="E35" s="325" t="s">
        <v>203</v>
      </c>
      <c r="F35" s="317">
        <v>0.8495466430916675</v>
      </c>
    </row>
    <row r="36" spans="2:6" s="161" customFormat="1">
      <c r="B36" s="322">
        <v>30</v>
      </c>
      <c r="C36" s="323" t="s">
        <v>301</v>
      </c>
      <c r="D36" s="324" t="s">
        <v>302</v>
      </c>
      <c r="E36" s="325" t="s">
        <v>203</v>
      </c>
      <c r="F36" s="317">
        <v>1</v>
      </c>
    </row>
    <row r="37" spans="2:6" s="161" customFormat="1">
      <c r="B37" s="322">
        <v>31</v>
      </c>
      <c r="C37" s="323" t="s">
        <v>281</v>
      </c>
      <c r="D37" s="324" t="s">
        <v>282</v>
      </c>
      <c r="E37" s="325" t="s">
        <v>203</v>
      </c>
      <c r="F37" s="317">
        <v>0.99412724988198942</v>
      </c>
    </row>
    <row r="38" spans="2:6" s="161" customFormat="1">
      <c r="B38" s="322">
        <v>32</v>
      </c>
      <c r="C38" s="323" t="s">
        <v>303</v>
      </c>
      <c r="D38" s="324" t="s">
        <v>304</v>
      </c>
      <c r="E38" s="325" t="s">
        <v>203</v>
      </c>
      <c r="F38" s="317">
        <v>1</v>
      </c>
    </row>
    <row r="39" spans="2:6" s="161" customFormat="1">
      <c r="B39" s="322">
        <v>33</v>
      </c>
      <c r="C39" s="323" t="s">
        <v>285</v>
      </c>
      <c r="D39" s="324" t="s">
        <v>286</v>
      </c>
      <c r="E39" s="325" t="s">
        <v>203</v>
      </c>
      <c r="F39" s="317">
        <v>1</v>
      </c>
    </row>
    <row r="40" spans="2:6" s="161" customFormat="1">
      <c r="B40" s="322">
        <v>34</v>
      </c>
      <c r="C40" s="323" t="s">
        <v>243</v>
      </c>
      <c r="D40" s="324" t="s">
        <v>244</v>
      </c>
      <c r="E40" s="325" t="s">
        <v>203</v>
      </c>
      <c r="F40" s="317">
        <v>0.98811295971978985</v>
      </c>
    </row>
    <row r="41" spans="2:6" s="161" customFormat="1">
      <c r="B41" s="322">
        <v>35</v>
      </c>
      <c r="C41" s="323" t="s">
        <v>289</v>
      </c>
      <c r="D41" s="324" t="s">
        <v>290</v>
      </c>
      <c r="E41" s="325" t="s">
        <v>204</v>
      </c>
      <c r="F41" s="317">
        <v>0.69696207835742718</v>
      </c>
    </row>
    <row r="42" spans="2:6" s="161" customFormat="1">
      <c r="B42" s="322">
        <v>36</v>
      </c>
      <c r="C42" s="323" t="s">
        <v>291</v>
      </c>
      <c r="D42" s="324" t="s">
        <v>292</v>
      </c>
      <c r="E42" s="325" t="s">
        <v>204</v>
      </c>
      <c r="F42" s="317">
        <v>0.75814539639907796</v>
      </c>
    </row>
    <row r="43" spans="2:6" s="161" customFormat="1">
      <c r="B43" s="322">
        <v>37</v>
      </c>
      <c r="C43" s="323" t="s">
        <v>293</v>
      </c>
      <c r="D43" s="324" t="s">
        <v>294</v>
      </c>
      <c r="E43" s="325" t="s">
        <v>203</v>
      </c>
      <c r="F43" s="317">
        <v>0.86562763268744736</v>
      </c>
    </row>
    <row r="44" spans="2:6" s="161" customFormat="1">
      <c r="B44" s="322">
        <v>38</v>
      </c>
      <c r="C44" s="323" t="s">
        <v>295</v>
      </c>
      <c r="D44" s="324" t="s">
        <v>296</v>
      </c>
      <c r="E44" s="325" t="s">
        <v>203</v>
      </c>
      <c r="F44" s="317">
        <v>0.98672308141231391</v>
      </c>
    </row>
    <row r="45" spans="2:6" s="161" customFormat="1">
      <c r="B45" s="322">
        <v>39</v>
      </c>
      <c r="C45" s="323" t="s">
        <v>595</v>
      </c>
      <c r="D45" s="324" t="s">
        <v>248</v>
      </c>
      <c r="E45" s="325" t="s">
        <v>203</v>
      </c>
      <c r="F45" s="317">
        <v>0.96785287166898415</v>
      </c>
    </row>
    <row r="46" spans="2:6" s="161" customFormat="1">
      <c r="B46" s="322">
        <v>40</v>
      </c>
      <c r="C46" s="323" t="s">
        <v>251</v>
      </c>
      <c r="D46" s="324" t="s">
        <v>252</v>
      </c>
      <c r="E46" s="325" t="s">
        <v>203</v>
      </c>
      <c r="F46" s="317">
        <v>0.99254249046132492</v>
      </c>
    </row>
    <row r="47" spans="2:6" s="161" customFormat="1">
      <c r="B47" s="322"/>
      <c r="C47" s="323"/>
      <c r="D47" s="324"/>
      <c r="E47" s="325"/>
      <c r="F47" s="317"/>
    </row>
    <row r="48" spans="2:6" s="161" customFormat="1">
      <c r="B48" s="322"/>
      <c r="C48" s="323"/>
      <c r="D48" s="324"/>
      <c r="E48" s="325"/>
      <c r="F48" s="317"/>
    </row>
    <row r="49" spans="2:6" s="161" customFormat="1">
      <c r="B49" s="322"/>
      <c r="C49" s="323"/>
      <c r="D49" s="324"/>
      <c r="E49" s="325"/>
      <c r="F49" s="317"/>
    </row>
    <row r="50" spans="2:6" s="161" customFormat="1">
      <c r="B50" s="322"/>
      <c r="C50" s="323"/>
      <c r="D50" s="324"/>
      <c r="E50" s="325"/>
      <c r="F50" s="317"/>
    </row>
    <row r="51" spans="2:6" s="161" customFormat="1">
      <c r="B51" s="322"/>
      <c r="C51" s="323"/>
      <c r="D51" s="324"/>
      <c r="E51" s="325"/>
      <c r="F51" s="317"/>
    </row>
    <row r="52" spans="2:6" s="161" customFormat="1">
      <c r="B52" s="322"/>
      <c r="C52" s="323"/>
      <c r="D52" s="324"/>
      <c r="E52" s="325"/>
      <c r="F52" s="317"/>
    </row>
    <row r="53" spans="2:6" s="161" customFormat="1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0.79816601745944316</v>
      </c>
    </row>
    <row r="54" spans="2:6" s="161" customFormat="1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0.97282777146399424</v>
      </c>
    </row>
    <row r="55" spans="2:6" s="161" customFormat="1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0.77897272391080552</v>
      </c>
    </row>
    <row r="57" spans="2:6" s="161" customFormat="1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0.92067396198278173</v>
      </c>
    </row>
    <row r="58" spans="2:6" s="161" customFormat="1">
      <c r="B58" s="322"/>
      <c r="C58" s="323"/>
      <c r="D58" s="324"/>
      <c r="E58" s="325"/>
      <c r="F58" s="317"/>
    </row>
    <row r="59" spans="2:6" s="161" customFormat="1">
      <c r="B59" s="322"/>
      <c r="C59" s="323"/>
      <c r="D59" s="324"/>
      <c r="E59" s="325"/>
      <c r="F59" s="317"/>
    </row>
    <row r="60" spans="2:6" s="161" customFormat="1">
      <c r="B60" s="322"/>
      <c r="C60" s="323"/>
      <c r="D60" s="324"/>
      <c r="E60" s="325"/>
      <c r="F60" s="317"/>
    </row>
    <row r="61" spans="2:6" s="161" customFormat="1">
      <c r="B61" s="322"/>
      <c r="C61" s="323"/>
      <c r="D61" s="324"/>
      <c r="E61" s="325"/>
      <c r="F61" s="317"/>
    </row>
    <row r="62" spans="2:6" s="161" customFormat="1">
      <c r="B62" s="162"/>
      <c r="D62" s="163"/>
      <c r="E62" s="164"/>
      <c r="F62" s="317"/>
    </row>
    <row r="63" spans="2:6" s="161" customFormat="1">
      <c r="B63" s="162"/>
      <c r="D63" s="163"/>
      <c r="E63" s="164"/>
      <c r="F63" s="317"/>
    </row>
    <row r="64" spans="2:6" s="161" customFormat="1">
      <c r="B64" s="162"/>
      <c r="D64" s="163"/>
      <c r="E64" s="164"/>
      <c r="F64" s="317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43465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322">
        <v>1</v>
      </c>
      <c r="C7" s="323" t="s">
        <v>217</v>
      </c>
      <c r="D7" s="324" t="s">
        <v>218</v>
      </c>
      <c r="E7" s="325" t="s">
        <v>204</v>
      </c>
      <c r="F7" s="317">
        <v>0.76524685382381419</v>
      </c>
    </row>
    <row r="8" spans="1:6" s="161" customFormat="1">
      <c r="B8" s="322">
        <v>2</v>
      </c>
      <c r="C8" s="323" t="s">
        <v>219</v>
      </c>
      <c r="D8" s="324" t="s">
        <v>220</v>
      </c>
      <c r="E8" s="325" t="s">
        <v>203</v>
      </c>
      <c r="F8" s="317">
        <v>0.88621159082069223</v>
      </c>
    </row>
    <row r="9" spans="1:6" s="161" customFormat="1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0.95201648770108205</v>
      </c>
    </row>
    <row r="11" spans="1:6" s="161" customFormat="1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0.69136071128796595</v>
      </c>
    </row>
    <row r="12" spans="1:6" s="161" customFormat="1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0.99109013007351743</v>
      </c>
    </row>
    <row r="13" spans="1:6" s="161" customFormat="1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0.93619788356916167</v>
      </c>
    </row>
    <row r="14" spans="1:6" s="161" customFormat="1">
      <c r="B14" s="322">
        <v>8</v>
      </c>
      <c r="C14" s="323" t="s">
        <v>249</v>
      </c>
      <c r="D14" s="324" t="s">
        <v>250</v>
      </c>
      <c r="E14" s="325" t="s">
        <v>204</v>
      </c>
      <c r="F14" s="317">
        <v>0.58541883086221558</v>
      </c>
    </row>
    <row r="15" spans="1:6" s="161" customFormat="1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0.89220922173753514</v>
      </c>
    </row>
    <row r="16" spans="1:6" s="161" customFormat="1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0.8352930267062314</v>
      </c>
    </row>
    <row r="17" spans="2:6" s="161" customFormat="1">
      <c r="B17" s="322">
        <v>11</v>
      </c>
      <c r="C17" s="323" t="s">
        <v>258</v>
      </c>
      <c r="D17" s="324" t="s">
        <v>194</v>
      </c>
      <c r="E17" s="325" t="s">
        <v>203</v>
      </c>
      <c r="F17" s="317">
        <v>0.81665445234489309</v>
      </c>
    </row>
    <row r="18" spans="2:6" s="161" customFormat="1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0.76827050264550267</v>
      </c>
    </row>
    <row r="19" spans="2:6" s="161" customFormat="1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0.9443739938290423</v>
      </c>
    </row>
    <row r="20" spans="2:6" s="161" customFormat="1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>
      <c r="B22" s="322">
        <v>16</v>
      </c>
      <c r="C22" s="323" t="s">
        <v>267</v>
      </c>
      <c r="D22" s="324" t="s">
        <v>268</v>
      </c>
      <c r="E22" s="325" t="s">
        <v>203</v>
      </c>
      <c r="F22" s="317">
        <v>0.9275423258872395</v>
      </c>
    </row>
    <row r="23" spans="2:6" s="161" customFormat="1">
      <c r="B23" s="322">
        <v>17</v>
      </c>
      <c r="C23" s="323" t="s">
        <v>230</v>
      </c>
      <c r="D23" s="324" t="s">
        <v>231</v>
      </c>
      <c r="E23" s="325" t="s">
        <v>203</v>
      </c>
      <c r="F23" s="317">
        <v>1</v>
      </c>
    </row>
    <row r="24" spans="2:6" s="161" customFormat="1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0.93038262132394411</v>
      </c>
    </row>
    <row r="25" spans="2:6" s="161" customFormat="1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0.61466916250229808</v>
      </c>
    </row>
    <row r="26" spans="2:6" s="161" customFormat="1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0.97581309437635722</v>
      </c>
    </row>
    <row r="27" spans="2:6" s="161" customFormat="1">
      <c r="B27" s="322">
        <v>21</v>
      </c>
      <c r="C27" s="323" t="s">
        <v>279</v>
      </c>
      <c r="D27" s="324" t="s">
        <v>280</v>
      </c>
      <c r="E27" s="325" t="s">
        <v>204</v>
      </c>
      <c r="F27" s="317">
        <v>0.45539375571722057</v>
      </c>
    </row>
    <row r="28" spans="2:6" s="161" customFormat="1">
      <c r="B28" s="322">
        <v>22</v>
      </c>
      <c r="C28" s="323" t="s">
        <v>283</v>
      </c>
      <c r="D28" s="324" t="s">
        <v>284</v>
      </c>
      <c r="E28" s="325" t="s">
        <v>203</v>
      </c>
      <c r="F28" s="317">
        <v>0.97989049867815681</v>
      </c>
    </row>
    <row r="29" spans="2:6" s="161" customFormat="1">
      <c r="B29" s="322">
        <v>23</v>
      </c>
      <c r="C29" s="323" t="s">
        <v>271</v>
      </c>
      <c r="D29" s="324" t="s">
        <v>272</v>
      </c>
      <c r="E29" s="325" t="s">
        <v>204</v>
      </c>
      <c r="F29" s="317">
        <v>0.57092590128089005</v>
      </c>
    </row>
    <row r="30" spans="2:6" s="161" customFormat="1">
      <c r="B30" s="322">
        <v>24</v>
      </c>
      <c r="C30" s="323" t="s">
        <v>308</v>
      </c>
      <c r="D30" s="324" t="s">
        <v>461</v>
      </c>
      <c r="E30" s="325" t="s">
        <v>203</v>
      </c>
      <c r="F30" s="317">
        <v>0.82291018184487918</v>
      </c>
    </row>
    <row r="31" spans="2:6" s="161" customFormat="1">
      <c r="B31" s="322">
        <v>25</v>
      </c>
      <c r="C31" s="323" t="s">
        <v>240</v>
      </c>
      <c r="D31" s="324" t="s">
        <v>241</v>
      </c>
      <c r="E31" s="325" t="s">
        <v>204</v>
      </c>
      <c r="F31" s="317">
        <v>0.51574704441572972</v>
      </c>
    </row>
    <row r="32" spans="2:6" s="161" customFormat="1">
      <c r="B32" s="322">
        <v>26</v>
      </c>
      <c r="C32" s="323" t="s">
        <v>273</v>
      </c>
      <c r="D32" s="324" t="s">
        <v>274</v>
      </c>
      <c r="E32" s="325" t="s">
        <v>203</v>
      </c>
      <c r="F32" s="317">
        <v>0.88342505962208773</v>
      </c>
    </row>
    <row r="33" spans="2:6" s="161" customFormat="1">
      <c r="B33" s="322">
        <v>27</v>
      </c>
      <c r="C33" s="323" t="s">
        <v>297</v>
      </c>
      <c r="D33" s="324" t="s">
        <v>298</v>
      </c>
      <c r="E33" s="325" t="s">
        <v>203</v>
      </c>
      <c r="F33" s="317">
        <v>0.99916164337740787</v>
      </c>
    </row>
    <row r="34" spans="2:6" s="161" customFormat="1">
      <c r="B34" s="322">
        <v>28</v>
      </c>
      <c r="C34" s="323" t="s">
        <v>277</v>
      </c>
      <c r="D34" s="324" t="s">
        <v>278</v>
      </c>
      <c r="E34" s="325" t="s">
        <v>203</v>
      </c>
      <c r="F34" s="317">
        <v>0.90286176804421048</v>
      </c>
    </row>
    <row r="35" spans="2:6" s="161" customFormat="1">
      <c r="B35" s="322">
        <v>29</v>
      </c>
      <c r="C35" s="323" t="s">
        <v>299</v>
      </c>
      <c r="D35" s="324" t="s">
        <v>300</v>
      </c>
      <c r="E35" s="325" t="s">
        <v>203</v>
      </c>
      <c r="F35" s="317">
        <v>0.84215331712234287</v>
      </c>
    </row>
    <row r="36" spans="2:6" s="161" customFormat="1">
      <c r="B36" s="322">
        <v>30</v>
      </c>
      <c r="C36" s="323" t="s">
        <v>301</v>
      </c>
      <c r="D36" s="324" t="s">
        <v>302</v>
      </c>
      <c r="E36" s="325" t="s">
        <v>203</v>
      </c>
      <c r="F36" s="317">
        <v>1</v>
      </c>
    </row>
    <row r="37" spans="2:6" s="161" customFormat="1">
      <c r="B37" s="322">
        <v>31</v>
      </c>
      <c r="C37" s="323" t="s">
        <v>281</v>
      </c>
      <c r="D37" s="324" t="s">
        <v>282</v>
      </c>
      <c r="E37" s="325" t="s">
        <v>203</v>
      </c>
      <c r="F37" s="317">
        <v>0.99440229453897766</v>
      </c>
    </row>
    <row r="38" spans="2:6" s="161" customFormat="1">
      <c r="B38" s="322">
        <v>32</v>
      </c>
      <c r="C38" s="323" t="s">
        <v>303</v>
      </c>
      <c r="D38" s="324" t="s">
        <v>304</v>
      </c>
      <c r="E38" s="325" t="s">
        <v>203</v>
      </c>
      <c r="F38" s="317">
        <v>1</v>
      </c>
    </row>
    <row r="39" spans="2:6" s="161" customFormat="1">
      <c r="B39" s="322">
        <v>33</v>
      </c>
      <c r="C39" s="323" t="s">
        <v>285</v>
      </c>
      <c r="D39" s="324" t="s">
        <v>286</v>
      </c>
      <c r="E39" s="325" t="s">
        <v>203</v>
      </c>
      <c r="F39" s="317">
        <v>1</v>
      </c>
    </row>
    <row r="40" spans="2:6" s="161" customFormat="1">
      <c r="B40" s="322">
        <v>34</v>
      </c>
      <c r="C40" s="323" t="s">
        <v>243</v>
      </c>
      <c r="D40" s="324" t="s">
        <v>244</v>
      </c>
      <c r="E40" s="325" t="s">
        <v>203</v>
      </c>
      <c r="F40" s="317">
        <v>0.9916812609457093</v>
      </c>
    </row>
    <row r="41" spans="2:6" s="161" customFormat="1">
      <c r="B41" s="322">
        <v>35</v>
      </c>
      <c r="C41" s="323" t="s">
        <v>289</v>
      </c>
      <c r="D41" s="324" t="s">
        <v>290</v>
      </c>
      <c r="E41" s="325" t="s">
        <v>204</v>
      </c>
      <c r="F41" s="317">
        <v>0.68633896659753779</v>
      </c>
    </row>
    <row r="42" spans="2:6" s="161" customFormat="1">
      <c r="B42" s="322">
        <v>36</v>
      </c>
      <c r="C42" s="323" t="s">
        <v>291</v>
      </c>
      <c r="D42" s="324" t="s">
        <v>292</v>
      </c>
      <c r="E42" s="325" t="s">
        <v>203</v>
      </c>
      <c r="F42" s="317">
        <v>0.81662392724034438</v>
      </c>
    </row>
    <row r="43" spans="2:6" s="161" customFormat="1">
      <c r="B43" s="322">
        <v>37</v>
      </c>
      <c r="C43" s="323" t="s">
        <v>293</v>
      </c>
      <c r="D43" s="324" t="s">
        <v>294</v>
      </c>
      <c r="E43" s="325" t="s">
        <v>203</v>
      </c>
      <c r="F43" s="317">
        <v>0.86242879381425663</v>
      </c>
    </row>
    <row r="44" spans="2:6" s="161" customFormat="1">
      <c r="B44" s="322">
        <v>38</v>
      </c>
      <c r="C44" s="323" t="s">
        <v>295</v>
      </c>
      <c r="D44" s="324" t="s">
        <v>296</v>
      </c>
      <c r="E44" s="325" t="s">
        <v>203</v>
      </c>
      <c r="F44" s="317">
        <v>0.96148809982284522</v>
      </c>
    </row>
    <row r="45" spans="2:6" s="161" customFormat="1">
      <c r="B45" s="322">
        <v>39</v>
      </c>
      <c r="C45" s="323" t="s">
        <v>595</v>
      </c>
      <c r="D45" s="324" t="s">
        <v>248</v>
      </c>
      <c r="E45" s="325" t="s">
        <v>203</v>
      </c>
      <c r="F45" s="317">
        <v>0.97692960287730257</v>
      </c>
    </row>
    <row r="46" spans="2:6" s="161" customFormat="1">
      <c r="B46" s="322">
        <v>40</v>
      </c>
      <c r="C46" s="323" t="s">
        <v>251</v>
      </c>
      <c r="D46" s="324" t="s">
        <v>252</v>
      </c>
      <c r="E46" s="325" t="s">
        <v>203</v>
      </c>
      <c r="F46" s="317">
        <v>0.99316000000000004</v>
      </c>
    </row>
    <row r="47" spans="2:6" s="161" customFormat="1">
      <c r="B47" s="322"/>
      <c r="C47" s="323"/>
      <c r="D47" s="324"/>
      <c r="E47" s="325"/>
      <c r="F47" s="317"/>
    </row>
    <row r="48" spans="2:6" s="161" customFormat="1">
      <c r="B48" s="322"/>
      <c r="C48" s="323"/>
      <c r="D48" s="324"/>
      <c r="E48" s="325"/>
      <c r="F48" s="317"/>
    </row>
    <row r="49" spans="2:6" s="161" customFormat="1">
      <c r="B49" s="322"/>
      <c r="C49" s="323"/>
      <c r="D49" s="324"/>
      <c r="E49" s="325"/>
      <c r="F49" s="317"/>
    </row>
    <row r="50" spans="2:6" s="161" customFormat="1">
      <c r="B50" s="322"/>
      <c r="C50" s="323"/>
      <c r="D50" s="324"/>
      <c r="E50" s="325"/>
      <c r="F50" s="317"/>
    </row>
    <row r="51" spans="2:6" s="161" customFormat="1">
      <c r="B51" s="322"/>
      <c r="C51" s="323"/>
      <c r="D51" s="324"/>
      <c r="E51" s="325"/>
      <c r="F51" s="317"/>
    </row>
    <row r="52" spans="2:6" s="161" customFormat="1">
      <c r="B52" s="322"/>
      <c r="C52" s="323"/>
      <c r="D52" s="324"/>
      <c r="E52" s="325"/>
      <c r="F52" s="317"/>
    </row>
    <row r="53" spans="2:6" s="161" customFormat="1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0.9072583113322833</v>
      </c>
    </row>
    <row r="54" spans="2:6" s="161" customFormat="1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0.9662790080186926</v>
      </c>
    </row>
    <row r="55" spans="2:6" s="161" customFormat="1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0.78704617687576606</v>
      </c>
    </row>
    <row r="57" spans="2:6" s="161" customFormat="1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0.92185000000000006</v>
      </c>
    </row>
    <row r="58" spans="2:6" s="161" customFormat="1">
      <c r="B58" s="322"/>
      <c r="C58" s="323"/>
      <c r="D58" s="324"/>
      <c r="E58" s="325"/>
      <c r="F58" s="317"/>
    </row>
    <row r="59" spans="2:6" s="161" customFormat="1">
      <c r="B59" s="322"/>
      <c r="C59" s="323"/>
      <c r="D59" s="324"/>
      <c r="E59" s="325"/>
      <c r="F59" s="317"/>
    </row>
    <row r="60" spans="2:6" s="161" customFormat="1">
      <c r="B60" s="322"/>
      <c r="C60" s="323"/>
      <c r="D60" s="324"/>
      <c r="E60" s="325"/>
      <c r="F60" s="317"/>
    </row>
    <row r="61" spans="2:6" s="161" customFormat="1">
      <c r="B61" s="322"/>
      <c r="C61" s="323"/>
      <c r="D61" s="324"/>
      <c r="E61" s="325"/>
      <c r="F61" s="317"/>
    </row>
    <row r="62" spans="2:6" s="161" customFormat="1">
      <c r="B62" s="162"/>
      <c r="D62" s="163"/>
      <c r="E62" s="164"/>
      <c r="F62" s="317"/>
    </row>
    <row r="63" spans="2:6" s="161" customFormat="1">
      <c r="B63" s="162"/>
      <c r="D63" s="163"/>
      <c r="E63" s="164"/>
      <c r="F63" s="317"/>
    </row>
    <row r="64" spans="2:6" s="161" customFormat="1">
      <c r="B64" s="162"/>
      <c r="D64" s="163"/>
      <c r="E64" s="164"/>
      <c r="F64" s="317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43100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322">
        <v>1</v>
      </c>
      <c r="C7" s="323" t="s">
        <v>217</v>
      </c>
      <c r="D7" s="324" t="s">
        <v>218</v>
      </c>
      <c r="E7" s="325" t="s">
        <v>204</v>
      </c>
      <c r="F7" s="317">
        <v>0.76507874015748034</v>
      </c>
    </row>
    <row r="8" spans="1:6" s="161" customFormat="1">
      <c r="B8" s="322">
        <v>2</v>
      </c>
      <c r="C8" s="323" t="s">
        <v>219</v>
      </c>
      <c r="D8" s="324" t="s">
        <v>220</v>
      </c>
      <c r="E8" s="325" t="s">
        <v>203</v>
      </c>
      <c r="F8" s="317">
        <v>0.88780501557676317</v>
      </c>
    </row>
    <row r="9" spans="1:6" s="161" customFormat="1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0.95447333579487414</v>
      </c>
    </row>
    <row r="11" spans="1:6" s="161" customFormat="1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0.67604433077578863</v>
      </c>
    </row>
    <row r="12" spans="1:6" s="161" customFormat="1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0.98945261528574735</v>
      </c>
    </row>
    <row r="13" spans="1:6" s="161" customFormat="1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0.95101880159822139</v>
      </c>
    </row>
    <row r="14" spans="1:6" s="161" customFormat="1">
      <c r="B14" s="322">
        <v>8</v>
      </c>
      <c r="C14" s="323" t="s">
        <v>249</v>
      </c>
      <c r="D14" s="324" t="s">
        <v>250</v>
      </c>
      <c r="E14" s="325" t="s">
        <v>204</v>
      </c>
      <c r="F14" s="317">
        <v>0.58622816961747914</v>
      </c>
    </row>
    <row r="15" spans="1:6" s="161" customFormat="1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0.91301518438177875</v>
      </c>
    </row>
    <row r="16" spans="1:6" s="161" customFormat="1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0.8738749974018416</v>
      </c>
    </row>
    <row r="17" spans="2:6" s="161" customFormat="1">
      <c r="B17" s="322">
        <v>11</v>
      </c>
      <c r="C17" s="323" t="s">
        <v>258</v>
      </c>
      <c r="D17" s="324" t="s">
        <v>194</v>
      </c>
      <c r="E17" s="325" t="s">
        <v>204</v>
      </c>
      <c r="F17" s="317">
        <v>0.71946631853785892</v>
      </c>
    </row>
    <row r="18" spans="2:6" s="161" customFormat="1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0.77694198477803778</v>
      </c>
    </row>
    <row r="19" spans="2:6" s="161" customFormat="1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0.86592369157590954</v>
      </c>
    </row>
    <row r="20" spans="2:6" s="161" customFormat="1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>
      <c r="B22" s="322">
        <v>16</v>
      </c>
      <c r="C22" s="323" t="s">
        <v>267</v>
      </c>
      <c r="D22" s="324" t="s">
        <v>268</v>
      </c>
      <c r="E22" s="325" t="s">
        <v>203</v>
      </c>
      <c r="F22" s="317">
        <v>0.92017324799678957</v>
      </c>
    </row>
    <row r="23" spans="2:6" s="161" customFormat="1">
      <c r="B23" s="322">
        <v>17</v>
      </c>
      <c r="C23" s="323" t="s">
        <v>230</v>
      </c>
      <c r="D23" s="324" t="s">
        <v>231</v>
      </c>
      <c r="E23" s="325" t="s">
        <v>203</v>
      </c>
      <c r="F23" s="317">
        <v>1</v>
      </c>
    </row>
    <row r="24" spans="2:6" s="161" customFormat="1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0.89029386754425666</v>
      </c>
    </row>
    <row r="25" spans="2:6" s="161" customFormat="1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0.60194515852613539</v>
      </c>
    </row>
    <row r="26" spans="2:6" s="161" customFormat="1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0.88162907920581202</v>
      </c>
    </row>
    <row r="27" spans="2:6" s="161" customFormat="1">
      <c r="B27" s="322">
        <v>21</v>
      </c>
      <c r="C27" s="323" t="s">
        <v>279</v>
      </c>
      <c r="D27" s="324" t="s">
        <v>280</v>
      </c>
      <c r="E27" s="325" t="s">
        <v>204</v>
      </c>
      <c r="F27" s="317">
        <v>0.47300476006249853</v>
      </c>
    </row>
    <row r="28" spans="2:6" s="161" customFormat="1">
      <c r="B28" s="322">
        <v>22</v>
      </c>
      <c r="C28" s="323" t="s">
        <v>283</v>
      </c>
      <c r="D28" s="324" t="s">
        <v>284</v>
      </c>
      <c r="E28" s="325" t="s">
        <v>203</v>
      </c>
      <c r="F28" s="317">
        <v>0.99173421797216232</v>
      </c>
    </row>
    <row r="29" spans="2:6" s="161" customFormat="1">
      <c r="B29" s="322">
        <v>23</v>
      </c>
      <c r="C29" s="323" t="s">
        <v>271</v>
      </c>
      <c r="D29" s="324" t="s">
        <v>272</v>
      </c>
      <c r="E29" s="325" t="s">
        <v>204</v>
      </c>
      <c r="F29" s="317">
        <v>0.57966797302336071</v>
      </c>
    </row>
    <row r="30" spans="2:6" s="161" customFormat="1">
      <c r="B30" s="322">
        <v>24</v>
      </c>
      <c r="C30" s="323" t="s">
        <v>308</v>
      </c>
      <c r="D30" s="324" t="s">
        <v>461</v>
      </c>
      <c r="E30" s="325" t="s">
        <v>204</v>
      </c>
      <c r="F30" s="317">
        <v>0.7812176918491015</v>
      </c>
    </row>
    <row r="31" spans="2:6" s="161" customFormat="1">
      <c r="B31" s="322">
        <v>25</v>
      </c>
      <c r="C31" s="323" t="s">
        <v>240</v>
      </c>
      <c r="D31" s="324" t="s">
        <v>241</v>
      </c>
      <c r="E31" s="325" t="s">
        <v>204</v>
      </c>
      <c r="F31" s="317">
        <v>0.51360053972829589</v>
      </c>
    </row>
    <row r="32" spans="2:6" s="161" customFormat="1">
      <c r="B32" s="322">
        <v>26</v>
      </c>
      <c r="C32" s="323" t="s">
        <v>273</v>
      </c>
      <c r="D32" s="324" t="s">
        <v>274</v>
      </c>
      <c r="E32" s="325" t="s">
        <v>203</v>
      </c>
      <c r="F32" s="317">
        <v>0.87805146856229688</v>
      </c>
    </row>
    <row r="33" spans="2:6" s="161" customFormat="1">
      <c r="B33" s="322">
        <v>27</v>
      </c>
      <c r="C33" s="323" t="s">
        <v>297</v>
      </c>
      <c r="D33" s="324" t="s">
        <v>298</v>
      </c>
      <c r="E33" s="325" t="s">
        <v>203</v>
      </c>
      <c r="F33" s="317">
        <v>0.99952295893849685</v>
      </c>
    </row>
    <row r="34" spans="2:6" s="161" customFormat="1">
      <c r="B34" s="322">
        <v>28</v>
      </c>
      <c r="C34" s="323" t="s">
        <v>277</v>
      </c>
      <c r="D34" s="324" t="s">
        <v>278</v>
      </c>
      <c r="E34" s="325" t="s">
        <v>203</v>
      </c>
      <c r="F34" s="317">
        <v>0.88887608401279206</v>
      </c>
    </row>
    <row r="35" spans="2:6" s="161" customFormat="1">
      <c r="B35" s="322">
        <v>29</v>
      </c>
      <c r="C35" s="323" t="s">
        <v>299</v>
      </c>
      <c r="D35" s="324" t="s">
        <v>300</v>
      </c>
      <c r="E35" s="325" t="s">
        <v>203</v>
      </c>
      <c r="F35" s="317">
        <v>0.84330816383755158</v>
      </c>
    </row>
    <row r="36" spans="2:6" s="161" customFormat="1">
      <c r="B36" s="322">
        <v>30</v>
      </c>
      <c r="C36" s="323" t="s">
        <v>301</v>
      </c>
      <c r="D36" s="324" t="s">
        <v>302</v>
      </c>
      <c r="E36" s="325" t="s">
        <v>203</v>
      </c>
      <c r="F36" s="317">
        <v>1</v>
      </c>
    </row>
    <row r="37" spans="2:6" s="161" customFormat="1">
      <c r="B37" s="322">
        <v>31</v>
      </c>
      <c r="C37" s="323" t="s">
        <v>281</v>
      </c>
      <c r="D37" s="324" t="s">
        <v>282</v>
      </c>
      <c r="E37" s="325" t="s">
        <v>203</v>
      </c>
      <c r="F37" s="317">
        <v>0.99263585427228107</v>
      </c>
    </row>
    <row r="38" spans="2:6" s="161" customFormat="1">
      <c r="B38" s="322">
        <v>32</v>
      </c>
      <c r="C38" s="323" t="s">
        <v>303</v>
      </c>
      <c r="D38" s="324" t="s">
        <v>304</v>
      </c>
      <c r="E38" s="325" t="s">
        <v>203</v>
      </c>
      <c r="F38" s="317">
        <v>1</v>
      </c>
    </row>
    <row r="39" spans="2:6" s="161" customFormat="1">
      <c r="B39" s="322">
        <v>33</v>
      </c>
      <c r="C39" s="323" t="s">
        <v>285</v>
      </c>
      <c r="D39" s="324" t="s">
        <v>286</v>
      </c>
      <c r="E39" s="325" t="s">
        <v>203</v>
      </c>
      <c r="F39" s="317">
        <v>1</v>
      </c>
    </row>
    <row r="40" spans="2:6" s="161" customFormat="1">
      <c r="B40" s="322">
        <v>34</v>
      </c>
      <c r="C40" s="323" t="s">
        <v>243</v>
      </c>
      <c r="D40" s="324" t="s">
        <v>244</v>
      </c>
      <c r="E40" s="325" t="s">
        <v>203</v>
      </c>
      <c r="F40" s="317">
        <v>0.99720340413221153</v>
      </c>
    </row>
    <row r="41" spans="2:6" s="161" customFormat="1">
      <c r="B41" s="322">
        <v>35</v>
      </c>
      <c r="C41" s="323" t="s">
        <v>289</v>
      </c>
      <c r="D41" s="324" t="s">
        <v>290</v>
      </c>
      <c r="E41" s="325" t="s">
        <v>204</v>
      </c>
      <c r="F41" s="317">
        <v>0.66846146642944082</v>
      </c>
    </row>
    <row r="42" spans="2:6" s="161" customFormat="1">
      <c r="B42" s="322">
        <v>36</v>
      </c>
      <c r="C42" s="323" t="s">
        <v>347</v>
      </c>
      <c r="D42" s="324" t="s">
        <v>348</v>
      </c>
      <c r="E42" s="325" t="s">
        <v>203</v>
      </c>
      <c r="F42" s="317">
        <v>0.81317039329740115</v>
      </c>
    </row>
    <row r="43" spans="2:6" s="161" customFormat="1">
      <c r="B43" s="322">
        <v>37</v>
      </c>
      <c r="C43" s="323" t="s">
        <v>291</v>
      </c>
      <c r="D43" s="324" t="s">
        <v>292</v>
      </c>
      <c r="E43" s="325" t="s">
        <v>204</v>
      </c>
      <c r="F43" s="317">
        <v>0.73605438826073821</v>
      </c>
    </row>
    <row r="44" spans="2:6" s="161" customFormat="1">
      <c r="B44" s="322">
        <v>38</v>
      </c>
      <c r="C44" s="323" t="s">
        <v>293</v>
      </c>
      <c r="D44" s="324" t="s">
        <v>294</v>
      </c>
      <c r="E44" s="325" t="s">
        <v>203</v>
      </c>
      <c r="F44" s="317">
        <v>0.85753794874104772</v>
      </c>
    </row>
    <row r="45" spans="2:6" s="161" customFormat="1">
      <c r="B45" s="322">
        <v>39</v>
      </c>
      <c r="C45" s="323" t="s">
        <v>295</v>
      </c>
      <c r="D45" s="324" t="s">
        <v>296</v>
      </c>
      <c r="E45" s="325" t="s">
        <v>203</v>
      </c>
      <c r="F45" s="317">
        <v>0.95917545696110795</v>
      </c>
    </row>
    <row r="46" spans="2:6" s="161" customFormat="1">
      <c r="B46" s="322">
        <v>40</v>
      </c>
      <c r="C46" s="323" t="s">
        <v>345</v>
      </c>
      <c r="D46" s="324" t="s">
        <v>346</v>
      </c>
      <c r="E46" s="325" t="s">
        <v>203</v>
      </c>
      <c r="F46" s="317">
        <v>0.84594425656724326</v>
      </c>
    </row>
    <row r="47" spans="2:6" s="161" customFormat="1">
      <c r="B47" s="322">
        <v>41</v>
      </c>
      <c r="C47" s="323" t="s">
        <v>595</v>
      </c>
      <c r="D47" s="324" t="s">
        <v>248</v>
      </c>
      <c r="E47" s="325" t="s">
        <v>203</v>
      </c>
      <c r="F47" s="317">
        <v>0.98266884031591772</v>
      </c>
    </row>
    <row r="48" spans="2:6" s="161" customFormat="1">
      <c r="B48" s="322">
        <v>42</v>
      </c>
      <c r="C48" s="323" t="s">
        <v>251</v>
      </c>
      <c r="D48" s="324" t="s">
        <v>252</v>
      </c>
      <c r="E48" s="325" t="s">
        <v>203</v>
      </c>
      <c r="F48" s="317">
        <v>0.99316000000000004</v>
      </c>
    </row>
    <row r="49" spans="2:6" s="161" customFormat="1">
      <c r="B49" s="322"/>
      <c r="C49" s="331"/>
      <c r="D49" s="332"/>
      <c r="E49" s="333"/>
      <c r="F49" s="334"/>
    </row>
    <row r="50" spans="2:6" s="161" customFormat="1">
      <c r="B50" s="322"/>
      <c r="C50" s="335" t="s">
        <v>352</v>
      </c>
      <c r="D50" s="336" t="s">
        <v>353</v>
      </c>
      <c r="E50" s="337" t="s">
        <v>203</v>
      </c>
      <c r="F50" s="338">
        <v>0.92375922105651831</v>
      </c>
    </row>
    <row r="51" spans="2:6" s="161" customFormat="1">
      <c r="B51" s="322"/>
      <c r="C51" s="339" t="s">
        <v>354</v>
      </c>
      <c r="D51" s="340" t="s">
        <v>355</v>
      </c>
      <c r="E51" s="341" t="s">
        <v>203</v>
      </c>
      <c r="F51" s="342">
        <v>1</v>
      </c>
    </row>
    <row r="52" spans="2:6" s="161" customFormat="1">
      <c r="B52" s="322"/>
      <c r="C52" s="323"/>
      <c r="D52" s="324"/>
      <c r="E52" s="325"/>
      <c r="F52" s="317"/>
    </row>
    <row r="53" spans="2:6" s="161" customFormat="1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0.90461810065077275</v>
      </c>
    </row>
    <row r="54" spans="2:6" s="161" customFormat="1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0.82441928557485844</v>
      </c>
    </row>
    <row r="55" spans="2:6" s="161" customFormat="1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0.78762415750266057</v>
      </c>
    </row>
    <row r="57" spans="2:6" s="161" customFormat="1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0.93376000000000003</v>
      </c>
    </row>
    <row r="58" spans="2:6" s="161" customFormat="1">
      <c r="B58" s="322"/>
      <c r="C58" s="323"/>
      <c r="D58" s="324"/>
      <c r="E58" s="325"/>
      <c r="F58" s="317"/>
    </row>
    <row r="59" spans="2:6" s="161" customFormat="1">
      <c r="B59" s="322"/>
      <c r="C59" s="323"/>
      <c r="D59" s="324"/>
      <c r="E59" s="325"/>
      <c r="F59" s="317"/>
    </row>
    <row r="60" spans="2:6" s="161" customFormat="1">
      <c r="B60" s="322"/>
      <c r="C60" s="323"/>
      <c r="D60" s="324"/>
      <c r="E60" s="325"/>
      <c r="F60" s="317"/>
    </row>
    <row r="61" spans="2:6" s="161" customFormat="1">
      <c r="B61" s="322"/>
      <c r="C61" s="323"/>
      <c r="D61" s="324"/>
      <c r="E61" s="325"/>
      <c r="F61" s="317"/>
    </row>
    <row r="62" spans="2:6" s="161" customFormat="1">
      <c r="B62" s="162"/>
      <c r="D62" s="163"/>
      <c r="E62" s="164"/>
      <c r="F62" s="317"/>
    </row>
    <row r="63" spans="2:6" s="161" customFormat="1">
      <c r="B63" s="162"/>
      <c r="D63" s="163"/>
      <c r="E63" s="164"/>
      <c r="F63" s="317"/>
    </row>
    <row r="64" spans="2:6" s="161" customFormat="1">
      <c r="B64" s="162"/>
      <c r="D64" s="163"/>
      <c r="E64" s="164"/>
      <c r="F64" s="317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 ca="1">"I.  S&amp;P Utility Credit Ratings Distribution -- " &amp; B6</f>
        <v>I.  S&amp;P Utility Credit Ratings Distribution -- 2021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'Credit_2021Q3'!d:d</v>
      </c>
      <c r="AK2" s="173" t="str">
        <f ca="1">AK4 &amp; AK3</f>
        <v>'Credit_2021Q3'!b1</v>
      </c>
      <c r="AL2" s="173" t="str">
        <f ca="1">AL4 &amp; AL3</f>
        <v>'Credit_2021Q3'!c1</v>
      </c>
      <c r="AQ2" s="169"/>
    </row>
    <row r="3" spans="1:61" ht="18" hidden="1" outlineLevel="1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'Credit_2021Q3'!</v>
      </c>
      <c r="AK4" s="169" t="str">
        <f t="shared" ref="AK4:AL4" ca="1" si="0">$AQ$5</f>
        <v>'Credit_2021Q3'!</v>
      </c>
      <c r="AL4" s="169" t="str">
        <f t="shared" ca="1" si="0"/>
        <v>'Credit_2021Q3'!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 ca="1"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(9)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211</v>
      </c>
    </row>
    <row r="6" spans="1:61" ht="28.5" customHeight="1">
      <c r="A6" s="219" t="s">
        <v>212</v>
      </c>
      <c r="B6" s="220" t="s">
        <v>213</v>
      </c>
      <c r="C6" s="249" t="s">
        <v>214</v>
      </c>
      <c r="D6" s="221"/>
      <c r="E6" s="222">
        <f ca="1">INDIRECT( E3 &amp; G1 )</f>
        <v>44196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0.22857142857142856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68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14</v>
      </c>
      <c r="P10" s="216">
        <f t="shared" ca="1" si="13"/>
        <v>0.4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9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65"/>
      <c r="G11" s="366">
        <f t="shared" ca="1" si="1"/>
        <v>22</v>
      </c>
      <c r="H11" s="367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9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8.5714285714285715E-2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65"/>
      <c r="G13" s="366">
        <f t="shared" ca="1" si="1"/>
        <v>30</v>
      </c>
      <c r="H13" s="367"/>
      <c r="I13" s="235"/>
      <c r="J13" s="217" t="s">
        <v>143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9">
      <c r="A14" s="223" t="s">
        <v>243</v>
      </c>
      <c r="B14" s="224" t="s">
        <v>139</v>
      </c>
      <c r="C14" s="224">
        <v>20</v>
      </c>
      <c r="D14" s="224" t="s">
        <v>244</v>
      </c>
      <c r="E14" s="225" t="str">
        <f t="shared" ca="1" si="9"/>
        <v>R</v>
      </c>
      <c r="F14" s="365"/>
      <c r="G14" s="366">
        <f t="shared" ca="1" si="1"/>
        <v>39</v>
      </c>
      <c r="H14" s="367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3.9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9"/>
        <v>R</v>
      </c>
      <c r="F15" s="365"/>
      <c r="G15" s="366">
        <f t="shared" ca="1" si="1"/>
        <v>44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17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3.9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9"/>
        <v>R</v>
      </c>
      <c r="F16" s="365"/>
      <c r="G16" s="366">
        <f t="shared" ca="1" si="1"/>
        <v>45</v>
      </c>
      <c r="H16" s="367"/>
      <c r="I16" s="232"/>
      <c r="J16" s="210" t="s">
        <v>253</v>
      </c>
      <c r="K16" s="232"/>
      <c r="L16" s="354">
        <f t="array" aca="1" ref="L16" ca="1">SUM( IF( LEN( $C$7:$C$65 ) = 0, 0, $C$7:$C$65 ) ) / SUM( IF( LEN( $C$7:$C$65 ) = 0, 0, 1  ) )</f>
        <v>18.795454545454547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18.742857142857144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18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3.9">
      <c r="A17" s="223" t="s">
        <v>225</v>
      </c>
      <c r="B17" s="224" t="s">
        <v>140</v>
      </c>
      <c r="C17" s="224">
        <v>19</v>
      </c>
      <c r="D17" s="224" t="s">
        <v>226</v>
      </c>
      <c r="E17" s="225" t="str">
        <f t="shared" ca="1" si="9"/>
        <v>R</v>
      </c>
      <c r="F17" s="365"/>
      <c r="G17" s="366">
        <f t="shared" ca="1" si="1"/>
        <v>9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19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3.9">
      <c r="A18" s="223" t="s">
        <v>233</v>
      </c>
      <c r="B18" s="224" t="s">
        <v>140</v>
      </c>
      <c r="C18" s="224">
        <v>19</v>
      </c>
      <c r="D18" s="224" t="s">
        <v>234</v>
      </c>
      <c r="E18" s="225" t="str">
        <f t="shared" ca="1" si="9"/>
        <v>MR</v>
      </c>
      <c r="F18" s="365"/>
      <c r="G18" s="366">
        <f t="shared" ca="1" si="1"/>
        <v>11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20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3.9">
      <c r="A19" s="223" t="s">
        <v>245</v>
      </c>
      <c r="B19" s="224" t="s">
        <v>140</v>
      </c>
      <c r="C19" s="224">
        <v>19</v>
      </c>
      <c r="D19" s="224" t="s">
        <v>246</v>
      </c>
      <c r="E19" s="225" t="str">
        <f t="shared" ca="1" si="9"/>
        <v>R</v>
      </c>
      <c r="F19" s="365"/>
      <c r="G19" s="366">
        <f t="shared" ca="1" si="1"/>
        <v>13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21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3.9">
      <c r="A20" s="223" t="s">
        <v>249</v>
      </c>
      <c r="B20" s="224" t="s">
        <v>140</v>
      </c>
      <c r="C20" s="224">
        <v>19</v>
      </c>
      <c r="D20" s="224" t="s">
        <v>250</v>
      </c>
      <c r="E20" s="225" t="str">
        <f t="shared" ca="1" si="9"/>
        <v>R</v>
      </c>
      <c r="F20" s="365"/>
      <c r="G20" s="366">
        <f t="shared" ca="1" si="1"/>
        <v>14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22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3.9">
      <c r="A21" s="223" t="s">
        <v>256</v>
      </c>
      <c r="B21" s="224" t="s">
        <v>140</v>
      </c>
      <c r="C21" s="224">
        <v>19</v>
      </c>
      <c r="D21" s="224" t="s">
        <v>257</v>
      </c>
      <c r="E21" s="225" t="str">
        <f t="shared" ca="1" si="9"/>
        <v>R</v>
      </c>
      <c r="F21" s="365"/>
      <c r="G21" s="366">
        <f t="shared" ca="1" si="1"/>
        <v>15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23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3.9">
      <c r="A22" s="223" t="s">
        <v>258</v>
      </c>
      <c r="B22" s="224" t="s">
        <v>140</v>
      </c>
      <c r="C22" s="224">
        <v>19</v>
      </c>
      <c r="D22" s="224" t="s">
        <v>194</v>
      </c>
      <c r="E22" s="225" t="str">
        <f t="shared" ca="1" si="9"/>
        <v>R</v>
      </c>
      <c r="F22" s="365"/>
      <c r="G22" s="366">
        <f t="shared" ca="1" si="1"/>
        <v>17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24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3.9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9"/>
        <v>MR</v>
      </c>
      <c r="F23" s="365"/>
      <c r="G23" s="366">
        <f t="shared" ca="1" si="1"/>
        <v>18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25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3.9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9"/>
        <v>R</v>
      </c>
      <c r="F24" s="365"/>
      <c r="G24" s="366">
        <f t="shared" ca="1" si="1"/>
        <v>19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26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3.9">
      <c r="A25" s="223" t="s">
        <v>267</v>
      </c>
      <c r="B25" s="224" t="s">
        <v>140</v>
      </c>
      <c r="C25" s="224">
        <v>19</v>
      </c>
      <c r="D25" s="224" t="s">
        <v>268</v>
      </c>
      <c r="E25" s="225" t="str">
        <f t="shared" ca="1" si="9"/>
        <v>R</v>
      </c>
      <c r="F25" s="365"/>
      <c r="G25" s="366">
        <f t="shared" ca="1" si="1"/>
        <v>21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27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3.9">
      <c r="A26" s="223" t="s">
        <v>269</v>
      </c>
      <c r="B26" s="224" t="s">
        <v>140</v>
      </c>
      <c r="C26" s="224">
        <v>19</v>
      </c>
      <c r="D26" s="224" t="s">
        <v>270</v>
      </c>
      <c r="E26" s="225" t="str">
        <f t="shared" ca="1" si="9"/>
        <v>MR</v>
      </c>
      <c r="F26" s="365"/>
      <c r="G26" s="366">
        <f t="shared" ca="1" si="1"/>
        <v>24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28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3.9">
      <c r="A27" s="223" t="s">
        <v>271</v>
      </c>
      <c r="B27" s="224" t="s">
        <v>140</v>
      </c>
      <c r="C27" s="224">
        <v>19</v>
      </c>
      <c r="D27" s="224" t="s">
        <v>272</v>
      </c>
      <c r="E27" s="225" t="str">
        <f t="shared" ca="1" si="9"/>
        <v>MR</v>
      </c>
      <c r="F27" s="365"/>
      <c r="G27" s="366">
        <f t="shared" ca="1" si="1"/>
        <v>28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29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3.9">
      <c r="A28" s="223" t="s">
        <v>273</v>
      </c>
      <c r="B28" s="224" t="s">
        <v>140</v>
      </c>
      <c r="C28" s="224">
        <v>19</v>
      </c>
      <c r="D28" s="224" t="s">
        <v>274</v>
      </c>
      <c r="E28" s="225" t="str">
        <f t="shared" ca="1" si="9"/>
        <v>R</v>
      </c>
      <c r="F28" s="365"/>
      <c r="G28" s="366">
        <f t="shared" ca="1" si="1"/>
        <v>31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30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3.9">
      <c r="A29" s="223" t="s">
        <v>277</v>
      </c>
      <c r="B29" s="224" t="s">
        <v>140</v>
      </c>
      <c r="C29" s="224">
        <v>19</v>
      </c>
      <c r="D29" s="224" t="s">
        <v>278</v>
      </c>
      <c r="E29" s="225" t="str">
        <f t="shared" ca="1" si="9"/>
        <v>R</v>
      </c>
      <c r="F29" s="365"/>
      <c r="G29" s="366">
        <f t="shared" ca="1" si="1"/>
        <v>33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31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3.9">
      <c r="A30" s="223" t="s">
        <v>281</v>
      </c>
      <c r="B30" s="224" t="s">
        <v>140</v>
      </c>
      <c r="C30" s="224">
        <v>19</v>
      </c>
      <c r="D30" s="224" t="s">
        <v>282</v>
      </c>
      <c r="E30" s="225" t="str">
        <f t="shared" ca="1" si="9"/>
        <v>R</v>
      </c>
      <c r="F30" s="365"/>
      <c r="G30" s="366">
        <f t="shared" ca="1" si="1"/>
        <v>36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>
        <f t="shared" ca="1" si="19"/>
        <v>1</v>
      </c>
      <c r="AJ30" s="169">
        <f t="shared" ca="1" si="20"/>
        <v>14</v>
      </c>
      <c r="AK30" s="169" t="str">
        <f t="shared" ca="1" si="21"/>
        <v>A-</v>
      </c>
      <c r="AL30" s="169">
        <f t="shared" ca="1" si="21"/>
        <v>20</v>
      </c>
      <c r="AM30" s="169" t="str">
        <f t="shared" ca="1" si="4"/>
        <v>Change</v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3.9">
      <c r="A31" s="223" t="s">
        <v>285</v>
      </c>
      <c r="B31" s="224" t="s">
        <v>140</v>
      </c>
      <c r="C31" s="224">
        <v>19</v>
      </c>
      <c r="D31" s="224" t="s">
        <v>286</v>
      </c>
      <c r="E31" s="225" t="str">
        <f t="shared" ca="1" si="9"/>
        <v>R</v>
      </c>
      <c r="F31" s="365"/>
      <c r="G31" s="366">
        <f t="shared" ca="1" si="1"/>
        <v>38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3.9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9"/>
        <v>MR</v>
      </c>
      <c r="F32" s="365"/>
      <c r="G32" s="366">
        <f t="shared" ca="1" si="1"/>
        <v>40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33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3.9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9"/>
        <v>R</v>
      </c>
      <c r="F33" s="365"/>
      <c r="G33" s="366">
        <f t="shared" ca="1" si="1"/>
        <v>41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34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3.9">
      <c r="A34" s="223" t="s">
        <v>293</v>
      </c>
      <c r="B34" s="224" t="s">
        <v>140</v>
      </c>
      <c r="C34" s="224">
        <v>19</v>
      </c>
      <c r="D34" s="224" t="s">
        <v>294</v>
      </c>
      <c r="E34" s="225" t="str">
        <f t="shared" ca="1" si="9"/>
        <v>R</v>
      </c>
      <c r="F34" s="365"/>
      <c r="G34" s="366">
        <f t="shared" ca="1" si="1"/>
        <v>42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>
        <f t="shared" ca="1" si="19"/>
        <v>1</v>
      </c>
      <c r="AJ34" s="169">
        <f t="shared" ca="1" si="20"/>
        <v>16</v>
      </c>
      <c r="AK34" s="169" t="str">
        <f t="shared" ca="1" si="21"/>
        <v>A-</v>
      </c>
      <c r="AL34" s="169">
        <f t="shared" ca="1" si="21"/>
        <v>20</v>
      </c>
      <c r="AM34" s="169" t="str">
        <f t="shared" ca="1" si="4"/>
        <v>Change</v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9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65"/>
      <c r="G39" s="366">
        <f t="shared" ca="1" si="1"/>
        <v>27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140</v>
      </c>
      <c r="AS39" s="207">
        <v>19</v>
      </c>
      <c r="AT39" s="207" t="s">
        <v>282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9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65"/>
      <c r="G40" s="366">
        <f t="shared" ca="1" si="1"/>
        <v>55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9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65"/>
      <c r="G41" s="366">
        <f t="shared" ca="1" si="1"/>
        <v>32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9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65"/>
      <c r="G42" s="366">
        <f t="shared" ca="1" si="1"/>
        <v>34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9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65"/>
      <c r="G43" s="366">
        <f t="shared" ca="1" si="1"/>
        <v>37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9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65"/>
      <c r="G44" s="366">
        <f t="shared" ca="1" si="1"/>
        <v>53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9">
      <c r="A45" s="223" t="s">
        <v>275</v>
      </c>
      <c r="B45" s="224" t="s">
        <v>142</v>
      </c>
      <c r="C45" s="224">
        <v>17</v>
      </c>
      <c r="D45" s="224" t="s">
        <v>276</v>
      </c>
      <c r="E45" s="225" t="str">
        <f t="shared" ca="1" si="9"/>
        <v>R</v>
      </c>
      <c r="F45" s="365"/>
      <c r="G45" s="366">
        <f t="shared" ca="1" si="1"/>
        <v>25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>
        <f t="shared" ca="1" si="3"/>
        <v>1</v>
      </c>
      <c r="AH45" s="169" t="str">
        <f t="shared" ca="1" si="19"/>
        <v/>
      </c>
      <c r="AJ45" s="169">
        <f t="shared" ca="1" si="20"/>
        <v>48</v>
      </c>
      <c r="AK45" s="169" t="str">
        <f t="shared" ca="1" si="21"/>
        <v>BB</v>
      </c>
      <c r="AL45" s="169">
        <f t="shared" ca="1" si="21"/>
        <v>15</v>
      </c>
      <c r="AM45" s="169" t="str">
        <f t="shared" ca="1" si="4"/>
        <v>Change</v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3.9">
      <c r="A46" s="223" t="s">
        <v>279</v>
      </c>
      <c r="B46" s="224" t="s">
        <v>142</v>
      </c>
      <c r="C46" s="224">
        <v>17</v>
      </c>
      <c r="D46" s="224" t="s">
        <v>280</v>
      </c>
      <c r="E46" s="225" t="str">
        <f t="shared" ca="1" si="9"/>
        <v>MR</v>
      </c>
      <c r="F46" s="365"/>
      <c r="G46" s="366">
        <f t="shared" ca="1" si="1"/>
        <v>26</v>
      </c>
      <c r="H46" s="367"/>
      <c r="I46" s="191"/>
      <c r="K46" s="191"/>
      <c r="N46" s="368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45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140</v>
      </c>
      <c r="AS46" s="207">
        <v>19</v>
      </c>
      <c r="AT46" s="207" t="s">
        <v>294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9">
      <c r="A47" s="223" t="s">
        <v>305</v>
      </c>
      <c r="B47" s="224" t="s">
        <v>142</v>
      </c>
      <c r="C47" s="224">
        <v>17</v>
      </c>
      <c r="D47" s="224" t="s">
        <v>306</v>
      </c>
      <c r="E47" s="225" t="str">
        <f t="shared" ca="1" si="9"/>
        <v>R</v>
      </c>
      <c r="F47" s="365"/>
      <c r="G47" s="366">
        <f t="shared" ca="1" si="1"/>
        <v>57</v>
      </c>
      <c r="H47" s="367"/>
      <c r="I47" s="367"/>
      <c r="J47" s="187" t="s">
        <v>307</v>
      </c>
      <c r="K47" s="191"/>
      <c r="M47" s="368"/>
      <c r="N47" s="368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46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9">
      <c r="A48" s="223" t="s">
        <v>259</v>
      </c>
      <c r="B48" s="224" t="s">
        <v>173</v>
      </c>
      <c r="C48" s="224">
        <v>16</v>
      </c>
      <c r="D48" s="224" t="s">
        <v>260</v>
      </c>
      <c r="E48" s="225" t="str">
        <f t="shared" ca="1" si="9"/>
        <v>R</v>
      </c>
      <c r="F48" s="365"/>
      <c r="G48" s="366">
        <f t="shared" ca="1" si="1"/>
        <v>54</v>
      </c>
      <c r="H48" s="367"/>
      <c r="I48" s="367"/>
      <c r="K48" s="191"/>
      <c r="M48" s="368"/>
      <c r="N48" s="368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47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3.9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65"/>
      <c r="G49" s="366">
        <f t="shared" ca="1" si="1"/>
        <v>35</v>
      </c>
      <c r="H49" s="367"/>
      <c r="I49" s="367"/>
      <c r="J49" s="191"/>
      <c r="K49" s="191"/>
      <c r="M49" s="368"/>
      <c r="N49" s="368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9">
      <c r="A50" s="223"/>
      <c r="B50" s="224"/>
      <c r="C50" s="224"/>
      <c r="D50" s="224"/>
      <c r="E50" s="225"/>
      <c r="F50" s="365"/>
      <c r="G50" s="366"/>
      <c r="H50" s="367"/>
      <c r="I50" s="367"/>
      <c r="J50" s="191"/>
      <c r="K50" s="191"/>
      <c r="M50" s="368"/>
      <c r="N50" s="368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29</v>
      </c>
      <c r="H61" s="367"/>
      <c r="I61" s="367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 ca="1">SUMPRODUCT( L8:L13, Y8:Y13 ) / L14</f>
        <v>18.795454545454547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23" priority="31" stopIfTrue="1">
      <formula>IF( $AH7 = 1, TRUE, FALSE )</formula>
    </cfRule>
    <cfRule type="expression" dxfId="1522" priority="32" stopIfTrue="1">
      <formula>IF( $AG7 = 1, TRUE, FALSE )</formula>
    </cfRule>
    <cfRule type="expression" dxfId="1521" priority="33" stopIfTrue="1">
      <formula>IF( $AF7 = 1, TRUE, FALSE )</formula>
    </cfRule>
  </conditionalFormatting>
  <conditionalFormatting sqref="A67:E67">
    <cfRule type="expression" dxfId="1520" priority="34" stopIfTrue="1">
      <formula>IF( $AH67 = 1, TRUE, FALSE )</formula>
    </cfRule>
    <cfRule type="expression" dxfId="1519" priority="35" stopIfTrue="1">
      <formula>IF( $AG67 = 1, TRUE, FALSE )</formula>
    </cfRule>
    <cfRule type="expression" dxfId="1518" priority="36" stopIfTrue="1">
      <formula>IF( $AF67 = 1, TRUE, FALSE )</formula>
    </cfRule>
  </conditionalFormatting>
  <conditionalFormatting sqref="A66:E66">
    <cfRule type="expression" dxfId="1517" priority="28" stopIfTrue="1">
      <formula>IF( $AH66 = 1, TRUE, FALSE )</formula>
    </cfRule>
    <cfRule type="expression" dxfId="1516" priority="29" stopIfTrue="1">
      <formula>IF( $AG66 = 1, TRUE, FALSE )</formula>
    </cfRule>
    <cfRule type="expression" dxfId="1515" priority="30" stopIfTrue="1">
      <formula>IF( $AF66 = 1, TRUE, FALSE )</formula>
    </cfRule>
  </conditionalFormatting>
  <conditionalFormatting sqref="A8:D33 B7:D7 A35:D58">
    <cfRule type="expression" dxfId="1514" priority="25" stopIfTrue="1">
      <formula>IF( $AH7 = 1, TRUE, FALSE )</formula>
    </cfRule>
    <cfRule type="expression" dxfId="1513" priority="26" stopIfTrue="1">
      <formula>IF( $AG7 = 1, TRUE, FALSE )</formula>
    </cfRule>
    <cfRule type="expression" dxfId="1512" priority="27" stopIfTrue="1">
      <formula>IF( $AF7 = 1, TRUE, FALSE )</formula>
    </cfRule>
  </conditionalFormatting>
  <conditionalFormatting sqref="A59:D59">
    <cfRule type="expression" dxfId="1511" priority="22" stopIfTrue="1">
      <formula>IF( $AH59 = 1, TRUE, FALSE )</formula>
    </cfRule>
    <cfRule type="expression" dxfId="1510" priority="23" stopIfTrue="1">
      <formula>IF( $AG59 = 1, TRUE, FALSE )</formula>
    </cfRule>
    <cfRule type="expression" dxfId="1509" priority="24" stopIfTrue="1">
      <formula>IF( $AF59 = 1, TRUE, FALSE )</formula>
    </cfRule>
  </conditionalFormatting>
  <conditionalFormatting sqref="A61:D65">
    <cfRule type="expression" dxfId="1508" priority="19" stopIfTrue="1">
      <formula>IF( $AH61 = 1, TRUE, FALSE )</formula>
    </cfRule>
    <cfRule type="expression" dxfId="1507" priority="20" stopIfTrue="1">
      <formula>IF( $AG61 = 1, TRUE, FALSE )</formula>
    </cfRule>
    <cfRule type="expression" dxfId="1506" priority="21" stopIfTrue="1">
      <formula>IF( $AF61 = 1, TRUE, FALSE )</formula>
    </cfRule>
  </conditionalFormatting>
  <conditionalFormatting sqref="U8:U12">
    <cfRule type="cellIs" dxfId="1505" priority="18" operator="equal">
      <formula>0</formula>
    </cfRule>
  </conditionalFormatting>
  <conditionalFormatting sqref="O8:O12 Q8:Q12">
    <cfRule type="cellIs" dxfId="1504" priority="17" operator="equal">
      <formula>0</formula>
    </cfRule>
  </conditionalFormatting>
  <conditionalFormatting sqref="V8:V12">
    <cfRule type="cellIs" dxfId="1503" priority="16" operator="equal">
      <formula>0</formula>
    </cfRule>
  </conditionalFormatting>
  <conditionalFormatting sqref="S8:S12">
    <cfRule type="cellIs" dxfId="1502" priority="14" operator="equal">
      <formula>0</formula>
    </cfRule>
  </conditionalFormatting>
  <conditionalFormatting sqref="R8:R12">
    <cfRule type="cellIs" dxfId="1501" priority="15" operator="equal">
      <formula>0</formula>
    </cfRule>
  </conditionalFormatting>
  <conditionalFormatting sqref="P8:P12">
    <cfRule type="cellIs" dxfId="1500" priority="13" operator="equal">
      <formula>0</formula>
    </cfRule>
  </conditionalFormatting>
  <conditionalFormatting sqref="M8:M12">
    <cfRule type="cellIs" dxfId="1499" priority="12" operator="equal">
      <formula>0</formula>
    </cfRule>
  </conditionalFormatting>
  <conditionalFormatting sqref="T8:T12">
    <cfRule type="cellIs" dxfId="1498" priority="11" operator="equal">
      <formula>0</formula>
    </cfRule>
  </conditionalFormatting>
  <conditionalFormatting sqref="N8:N12">
    <cfRule type="cellIs" dxfId="1497" priority="10" operator="equal">
      <formula>0</formula>
    </cfRule>
  </conditionalFormatting>
  <conditionalFormatting sqref="K8:K12">
    <cfRule type="cellIs" dxfId="1496" priority="9" operator="equal">
      <formula>0</formula>
    </cfRule>
  </conditionalFormatting>
  <conditionalFormatting sqref="I8:I12">
    <cfRule type="cellIs" dxfId="1495" priority="8" operator="equal">
      <formula>0</formula>
    </cfRule>
  </conditionalFormatting>
  <conditionalFormatting sqref="W8:W12">
    <cfRule type="cellIs" dxfId="1494" priority="7" operator="equal">
      <formula>0</formula>
    </cfRule>
  </conditionalFormatting>
  <conditionalFormatting sqref="A7">
    <cfRule type="expression" dxfId="1493" priority="4" stopIfTrue="1">
      <formula>IF( $AH7 = 1, TRUE, FALSE )</formula>
    </cfRule>
    <cfRule type="expression" dxfId="1492" priority="5" stopIfTrue="1">
      <formula>IF( $AG7 = 1, TRUE, FALSE )</formula>
    </cfRule>
    <cfRule type="expression" dxfId="1491" priority="6" stopIfTrue="1">
      <formula>IF( $AF7 = 1, TRUE, FALSE )</formula>
    </cfRule>
  </conditionalFormatting>
  <conditionalFormatting sqref="A34:D34">
    <cfRule type="expression" dxfId="1490" priority="1" stopIfTrue="1">
      <formula>IF( $AH34 = 1, TRUE, FALSE )</formula>
    </cfRule>
    <cfRule type="expression" dxfId="1489" priority="2" stopIfTrue="1">
      <formula>IF( $AG34 = 1, TRUE, FALSE )</formula>
    </cfRule>
    <cfRule type="expression" dxfId="148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42735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322">
        <v>1</v>
      </c>
      <c r="C7" s="323" t="s">
        <v>217</v>
      </c>
      <c r="D7" s="324" t="s">
        <v>218</v>
      </c>
      <c r="E7" s="325" t="s">
        <v>204</v>
      </c>
      <c r="F7" s="317">
        <v>0.78538235773683363</v>
      </c>
    </row>
    <row r="8" spans="1:6" s="161" customFormat="1">
      <c r="B8" s="322">
        <v>2</v>
      </c>
      <c r="C8" s="323" t="s">
        <v>219</v>
      </c>
      <c r="D8" s="324" t="s">
        <v>220</v>
      </c>
      <c r="E8" s="325" t="s">
        <v>203</v>
      </c>
      <c r="F8" s="317">
        <v>0.90711690020786906</v>
      </c>
    </row>
    <row r="9" spans="1:6" s="161" customFormat="1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0.92354851365340163</v>
      </c>
    </row>
    <row r="11" spans="1:6" s="161" customFormat="1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0.66284454949056182</v>
      </c>
    </row>
    <row r="12" spans="1:6" s="161" customFormat="1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0.98861906057812454</v>
      </c>
    </row>
    <row r="13" spans="1:6" s="161" customFormat="1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0.94660102979935035</v>
      </c>
    </row>
    <row r="14" spans="1:6" s="161" customFormat="1">
      <c r="B14" s="322">
        <v>8</v>
      </c>
      <c r="C14" s="323" t="s">
        <v>249</v>
      </c>
      <c r="D14" s="324" t="s">
        <v>250</v>
      </c>
      <c r="E14" s="325" t="s">
        <v>204</v>
      </c>
      <c r="F14" s="317">
        <v>0.72648700883119577</v>
      </c>
    </row>
    <row r="15" spans="1:6" s="161" customFormat="1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0.91920266395338079</v>
      </c>
    </row>
    <row r="16" spans="1:6" s="161" customFormat="1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0.87387835457465546</v>
      </c>
    </row>
    <row r="17" spans="2:6" s="161" customFormat="1">
      <c r="B17" s="322">
        <v>11</v>
      </c>
      <c r="C17" s="323" t="s">
        <v>361</v>
      </c>
      <c r="D17" s="324" t="s">
        <v>194</v>
      </c>
      <c r="E17" s="325" t="s">
        <v>204</v>
      </c>
      <c r="F17" s="317">
        <v>0.67019553072625704</v>
      </c>
    </row>
    <row r="18" spans="2:6" s="161" customFormat="1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0.78480696607471678</v>
      </c>
    </row>
    <row r="19" spans="2:6" s="161" customFormat="1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0.86616551547517728</v>
      </c>
    </row>
    <row r="20" spans="2:6" s="161" customFormat="1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>
      <c r="B22" s="322">
        <v>16</v>
      </c>
      <c r="C22" s="323" t="s">
        <v>367</v>
      </c>
      <c r="D22" s="324" t="s">
        <v>368</v>
      </c>
      <c r="E22" s="325" t="s">
        <v>203</v>
      </c>
      <c r="F22" s="317">
        <v>1</v>
      </c>
    </row>
    <row r="23" spans="2:6" s="161" customFormat="1">
      <c r="B23" s="322">
        <v>17</v>
      </c>
      <c r="C23" s="323" t="s">
        <v>267</v>
      </c>
      <c r="D23" s="324" t="s">
        <v>268</v>
      </c>
      <c r="E23" s="325" t="s">
        <v>203</v>
      </c>
      <c r="F23" s="317">
        <v>0.89531113704615117</v>
      </c>
    </row>
    <row r="24" spans="2:6" s="161" customFormat="1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0.94913456378770289</v>
      </c>
    </row>
    <row r="25" spans="2:6" s="161" customFormat="1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0.59958748172387388</v>
      </c>
    </row>
    <row r="26" spans="2:6" s="161" customFormat="1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0.84492908130156674</v>
      </c>
    </row>
    <row r="27" spans="2:6" s="161" customFormat="1">
      <c r="B27" s="322">
        <v>21</v>
      </c>
      <c r="C27" s="323" t="s">
        <v>352</v>
      </c>
      <c r="D27" s="324" t="s">
        <v>353</v>
      </c>
      <c r="E27" s="325" t="s">
        <v>203</v>
      </c>
      <c r="F27" s="317">
        <v>0.84334561532792929</v>
      </c>
    </row>
    <row r="28" spans="2:6" s="161" customFormat="1">
      <c r="B28" s="322">
        <v>22</v>
      </c>
      <c r="C28" s="323" t="s">
        <v>279</v>
      </c>
      <c r="D28" s="324" t="s">
        <v>280</v>
      </c>
      <c r="E28" s="325" t="s">
        <v>204</v>
      </c>
      <c r="F28" s="317">
        <v>0.48090017420618525</v>
      </c>
    </row>
    <row r="29" spans="2:6" s="161" customFormat="1">
      <c r="B29" s="322">
        <v>23</v>
      </c>
      <c r="C29" s="323" t="s">
        <v>283</v>
      </c>
      <c r="D29" s="324" t="s">
        <v>284</v>
      </c>
      <c r="E29" s="325" t="s">
        <v>203</v>
      </c>
      <c r="F29" s="317">
        <v>0.99154946416451661</v>
      </c>
    </row>
    <row r="30" spans="2:6" s="161" customFormat="1">
      <c r="B30" s="322">
        <v>24</v>
      </c>
      <c r="C30" s="323" t="s">
        <v>271</v>
      </c>
      <c r="D30" s="324" t="s">
        <v>272</v>
      </c>
      <c r="E30" s="325" t="s">
        <v>204</v>
      </c>
      <c r="F30" s="317">
        <v>0.55788183787105561</v>
      </c>
    </row>
    <row r="31" spans="2:6" s="161" customFormat="1">
      <c r="B31" s="322">
        <v>25</v>
      </c>
      <c r="C31" s="323" t="s">
        <v>308</v>
      </c>
      <c r="D31" s="324" t="s">
        <v>461</v>
      </c>
      <c r="E31" s="325" t="s">
        <v>204</v>
      </c>
      <c r="F31" s="317">
        <v>0.78567232629673633</v>
      </c>
    </row>
    <row r="32" spans="2:6" s="161" customFormat="1">
      <c r="B32" s="322">
        <v>26</v>
      </c>
      <c r="C32" s="323" t="s">
        <v>240</v>
      </c>
      <c r="D32" s="324" t="s">
        <v>241</v>
      </c>
      <c r="E32" s="325" t="s">
        <v>204</v>
      </c>
      <c r="F32" s="317">
        <v>0.50560599157712272</v>
      </c>
    </row>
    <row r="33" spans="2:6" s="161" customFormat="1">
      <c r="B33" s="322">
        <v>27</v>
      </c>
      <c r="C33" s="323" t="s">
        <v>273</v>
      </c>
      <c r="D33" s="324" t="s">
        <v>274</v>
      </c>
      <c r="E33" s="325" t="s">
        <v>203</v>
      </c>
      <c r="F33" s="317">
        <v>0.87362440415367082</v>
      </c>
    </row>
    <row r="34" spans="2:6" s="161" customFormat="1">
      <c r="B34" s="322">
        <v>28</v>
      </c>
      <c r="C34" s="323" t="s">
        <v>297</v>
      </c>
      <c r="D34" s="324" t="s">
        <v>298</v>
      </c>
      <c r="E34" s="325" t="s">
        <v>203</v>
      </c>
      <c r="F34" s="317">
        <v>0.99888749902033358</v>
      </c>
    </row>
    <row r="35" spans="2:6" s="161" customFormat="1">
      <c r="B35" s="322">
        <v>29</v>
      </c>
      <c r="C35" s="323" t="s">
        <v>277</v>
      </c>
      <c r="D35" s="324" t="s">
        <v>278</v>
      </c>
      <c r="E35" s="325" t="s">
        <v>203</v>
      </c>
      <c r="F35" s="317">
        <v>0.87220813714837608</v>
      </c>
    </row>
    <row r="36" spans="2:6" s="161" customFormat="1">
      <c r="B36" s="322">
        <v>30</v>
      </c>
      <c r="C36" s="323" t="s">
        <v>299</v>
      </c>
      <c r="D36" s="324" t="s">
        <v>300</v>
      </c>
      <c r="E36" s="325" t="s">
        <v>203</v>
      </c>
      <c r="F36" s="317">
        <v>0.84827636694494046</v>
      </c>
    </row>
    <row r="37" spans="2:6" s="161" customFormat="1">
      <c r="B37" s="322">
        <v>31</v>
      </c>
      <c r="C37" s="323" t="s">
        <v>301</v>
      </c>
      <c r="D37" s="324" t="s">
        <v>302</v>
      </c>
      <c r="E37" s="325" t="s">
        <v>203</v>
      </c>
      <c r="F37" s="317">
        <v>1</v>
      </c>
    </row>
    <row r="38" spans="2:6" s="161" customFormat="1">
      <c r="B38" s="322">
        <v>32</v>
      </c>
      <c r="C38" s="323" t="s">
        <v>281</v>
      </c>
      <c r="D38" s="324" t="s">
        <v>282</v>
      </c>
      <c r="E38" s="325" t="s">
        <v>203</v>
      </c>
      <c r="F38" s="317">
        <v>0.99543383874273916</v>
      </c>
    </row>
    <row r="39" spans="2:6" s="161" customFormat="1">
      <c r="B39" s="322">
        <v>33</v>
      </c>
      <c r="C39" s="323" t="s">
        <v>303</v>
      </c>
      <c r="D39" s="324" t="s">
        <v>304</v>
      </c>
      <c r="E39" s="325" t="s">
        <v>203</v>
      </c>
      <c r="F39" s="317">
        <v>1</v>
      </c>
    </row>
    <row r="40" spans="2:6" s="161" customFormat="1">
      <c r="B40" s="322">
        <v>34</v>
      </c>
      <c r="C40" s="323" t="s">
        <v>285</v>
      </c>
      <c r="D40" s="324" t="s">
        <v>286</v>
      </c>
      <c r="E40" s="325" t="s">
        <v>203</v>
      </c>
      <c r="F40" s="317">
        <v>1</v>
      </c>
    </row>
    <row r="41" spans="2:6" s="161" customFormat="1">
      <c r="B41" s="322">
        <v>35</v>
      </c>
      <c r="C41" s="323" t="s">
        <v>243</v>
      </c>
      <c r="D41" s="324" t="s">
        <v>244</v>
      </c>
      <c r="E41" s="325" t="s">
        <v>203</v>
      </c>
      <c r="F41" s="317">
        <v>0.99177870687780023</v>
      </c>
    </row>
    <row r="42" spans="2:6" s="161" customFormat="1">
      <c r="B42" s="322">
        <v>36</v>
      </c>
      <c r="C42" s="323" t="s">
        <v>289</v>
      </c>
      <c r="D42" s="324" t="s">
        <v>290</v>
      </c>
      <c r="E42" s="325" t="s">
        <v>204</v>
      </c>
      <c r="F42" s="317">
        <v>0.65605190915897182</v>
      </c>
    </row>
    <row r="43" spans="2:6" s="161" customFormat="1">
      <c r="B43" s="322">
        <v>37</v>
      </c>
      <c r="C43" s="323" t="s">
        <v>347</v>
      </c>
      <c r="D43" s="324" t="s">
        <v>348</v>
      </c>
      <c r="E43" s="325" t="s">
        <v>204</v>
      </c>
      <c r="F43" s="317">
        <v>0.79227027315977971</v>
      </c>
    </row>
    <row r="44" spans="2:6" s="161" customFormat="1">
      <c r="B44" s="322">
        <v>38</v>
      </c>
      <c r="C44" s="323" t="s">
        <v>291</v>
      </c>
      <c r="D44" s="324" t="s">
        <v>292</v>
      </c>
      <c r="E44" s="325" t="s">
        <v>204</v>
      </c>
      <c r="F44" s="317">
        <v>0.74659484696320211</v>
      </c>
    </row>
    <row r="45" spans="2:6" s="161" customFormat="1">
      <c r="B45" s="322">
        <v>39</v>
      </c>
      <c r="C45" s="323" t="s">
        <v>293</v>
      </c>
      <c r="D45" s="324" t="s">
        <v>294</v>
      </c>
      <c r="E45" s="325" t="s">
        <v>203</v>
      </c>
      <c r="F45" s="317">
        <v>0.85685114451625843</v>
      </c>
    </row>
    <row r="46" spans="2:6" s="161" customFormat="1">
      <c r="B46" s="322">
        <v>40</v>
      </c>
      <c r="C46" s="323" t="s">
        <v>295</v>
      </c>
      <c r="D46" s="324" t="s">
        <v>296</v>
      </c>
      <c r="E46" s="325" t="s">
        <v>203</v>
      </c>
      <c r="F46" s="317">
        <v>0.96286119482361276</v>
      </c>
    </row>
    <row r="47" spans="2:6" s="161" customFormat="1">
      <c r="B47" s="322">
        <v>41</v>
      </c>
      <c r="C47" s="323" t="s">
        <v>345</v>
      </c>
      <c r="D47" s="324" t="s">
        <v>346</v>
      </c>
      <c r="E47" s="325" t="s">
        <v>203</v>
      </c>
      <c r="F47" s="317">
        <v>0.84117434102780686</v>
      </c>
    </row>
    <row r="48" spans="2:6" s="161" customFormat="1">
      <c r="B48" s="322">
        <v>42</v>
      </c>
      <c r="C48" s="323" t="s">
        <v>595</v>
      </c>
      <c r="D48" s="324" t="s">
        <v>248</v>
      </c>
      <c r="E48" s="325" t="s">
        <v>203</v>
      </c>
      <c r="F48" s="317">
        <v>0.99316473681414996</v>
      </c>
    </row>
    <row r="49" spans="2:6" s="161" customFormat="1">
      <c r="B49" s="322">
        <v>43</v>
      </c>
      <c r="C49" s="323" t="s">
        <v>354</v>
      </c>
      <c r="D49" s="324" t="s">
        <v>355</v>
      </c>
      <c r="E49" s="325" t="s">
        <v>203</v>
      </c>
      <c r="F49" s="317">
        <v>1</v>
      </c>
    </row>
    <row r="50" spans="2:6" s="161" customFormat="1">
      <c r="B50" s="322">
        <v>44</v>
      </c>
      <c r="C50" s="323" t="s">
        <v>251</v>
      </c>
      <c r="D50" s="324" t="s">
        <v>252</v>
      </c>
      <c r="E50" s="325" t="s">
        <v>203</v>
      </c>
      <c r="F50" s="317">
        <v>0.99317999999999995</v>
      </c>
    </row>
    <row r="51" spans="2:6" s="161" customFormat="1">
      <c r="B51" s="322"/>
      <c r="C51" s="323"/>
      <c r="D51" s="324"/>
      <c r="E51" s="325"/>
      <c r="F51" s="317"/>
    </row>
    <row r="52" spans="2:6" s="161" customFormat="1">
      <c r="B52" s="322"/>
      <c r="C52" s="323"/>
      <c r="D52" s="324"/>
      <c r="E52" s="325"/>
      <c r="F52" s="317"/>
    </row>
    <row r="53" spans="2:6" s="161" customFormat="1">
      <c r="B53" s="322"/>
      <c r="C53" s="323"/>
      <c r="D53" s="324"/>
      <c r="E53" s="325"/>
      <c r="F53" s="317"/>
    </row>
    <row r="54" spans="2:6" s="161" customFormat="1">
      <c r="B54" s="322">
        <v>1</v>
      </c>
      <c r="C54" s="323" t="s">
        <v>596</v>
      </c>
      <c r="D54" s="324" t="s">
        <v>255</v>
      </c>
      <c r="E54" s="325" t="s">
        <v>203</v>
      </c>
      <c r="F54" s="317">
        <v>0.90779036389525458</v>
      </c>
    </row>
    <row r="55" spans="2:6" s="161" customFormat="1">
      <c r="B55" s="322">
        <v>2</v>
      </c>
      <c r="C55" s="323" t="s">
        <v>597</v>
      </c>
      <c r="D55" s="324" t="s">
        <v>260</v>
      </c>
      <c r="E55" s="325" t="s">
        <v>204</v>
      </c>
      <c r="F55" s="317">
        <v>0.70705191798941791</v>
      </c>
    </row>
    <row r="56" spans="2:6" s="161" customFormat="1">
      <c r="B56" s="322">
        <v>3</v>
      </c>
      <c r="C56" s="323" t="s">
        <v>601</v>
      </c>
      <c r="D56" s="324" t="s">
        <v>359</v>
      </c>
      <c r="E56" s="325" t="s">
        <v>203</v>
      </c>
      <c r="F56" s="317">
        <v>1</v>
      </c>
    </row>
    <row r="57" spans="2:6" s="161" customFormat="1">
      <c r="B57" s="322">
        <v>4</v>
      </c>
      <c r="C57" s="323" t="s">
        <v>598</v>
      </c>
      <c r="D57" s="324" t="s">
        <v>288</v>
      </c>
      <c r="E57" s="325" t="s">
        <v>203</v>
      </c>
      <c r="F57" s="317">
        <v>1</v>
      </c>
    </row>
    <row r="58" spans="2:6" s="161" customFormat="1">
      <c r="B58" s="322">
        <v>5</v>
      </c>
      <c r="C58" s="323" t="s">
        <v>599</v>
      </c>
      <c r="D58" s="324" t="s">
        <v>216</v>
      </c>
      <c r="E58" s="325" t="s">
        <v>203</v>
      </c>
      <c r="F58" s="317">
        <v>0.81182116104868918</v>
      </c>
    </row>
    <row r="59" spans="2:6" s="161" customFormat="1">
      <c r="B59" s="322">
        <v>6</v>
      </c>
      <c r="C59" s="323" t="s">
        <v>600</v>
      </c>
      <c r="D59" s="324" t="s">
        <v>306</v>
      </c>
      <c r="E59" s="325" t="s">
        <v>203</v>
      </c>
      <c r="F59" s="317">
        <v>0.94743999999999995</v>
      </c>
    </row>
    <row r="60" spans="2:6" s="161" customFormat="1">
      <c r="B60" s="322"/>
      <c r="C60" s="323"/>
      <c r="D60" s="324"/>
      <c r="E60" s="325"/>
      <c r="F60" s="317"/>
    </row>
    <row r="61" spans="2:6" s="161" customFormat="1">
      <c r="B61" s="322"/>
      <c r="C61" s="323"/>
      <c r="D61" s="324"/>
      <c r="E61" s="325"/>
      <c r="F61" s="317"/>
    </row>
    <row r="62" spans="2:6" s="161" customFormat="1">
      <c r="B62" s="162"/>
      <c r="D62" s="163"/>
      <c r="E62" s="164"/>
      <c r="F62" s="317"/>
    </row>
    <row r="63" spans="2:6" s="161" customFormat="1">
      <c r="B63" s="162"/>
      <c r="D63" s="163"/>
      <c r="E63" s="164"/>
      <c r="F63" s="317"/>
    </row>
    <row r="64" spans="2:6" s="161" customFormat="1">
      <c r="B64" s="162"/>
      <c r="D64" s="163"/>
      <c r="E64" s="164"/>
      <c r="F64" s="317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42369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322">
        <f t="shared" ref="B7:B61" ca="1" si="0">OFFSET( B7, -1, 0 ) + 1</f>
        <v>1</v>
      </c>
      <c r="C7" s="323" t="s">
        <v>217</v>
      </c>
      <c r="D7" s="324" t="s">
        <v>218</v>
      </c>
      <c r="E7" s="325" t="s">
        <v>204</v>
      </c>
      <c r="F7" s="317">
        <v>0.78714515701738286</v>
      </c>
    </row>
    <row r="8" spans="1:6" s="161" customFormat="1">
      <c r="B8" s="322">
        <f t="shared" ca="1" si="0"/>
        <v>2</v>
      </c>
      <c r="C8" s="323" t="s">
        <v>219</v>
      </c>
      <c r="D8" s="324" t="s">
        <v>220</v>
      </c>
      <c r="E8" s="325" t="s">
        <v>203</v>
      </c>
      <c r="F8" s="317">
        <v>0.89239067802035976</v>
      </c>
    </row>
    <row r="9" spans="1:6" s="161" customFormat="1">
      <c r="B9" s="322">
        <f t="shared" ca="1" si="0"/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>
      <c r="B10" s="322">
        <f t="shared" ca="1" si="0"/>
        <v>4</v>
      </c>
      <c r="C10" s="323" t="s">
        <v>222</v>
      </c>
      <c r="D10" s="324" t="s">
        <v>223</v>
      </c>
      <c r="E10" s="325" t="s">
        <v>203</v>
      </c>
      <c r="F10" s="317">
        <v>0.89886208702221515</v>
      </c>
    </row>
    <row r="11" spans="1:6" s="161" customFormat="1">
      <c r="B11" s="322">
        <f t="shared" ca="1" si="0"/>
        <v>5</v>
      </c>
      <c r="C11" s="323" t="s">
        <v>233</v>
      </c>
      <c r="D11" s="324" t="s">
        <v>234</v>
      </c>
      <c r="E11" s="325" t="s">
        <v>204</v>
      </c>
      <c r="F11" s="317">
        <v>0.55099999999999993</v>
      </c>
    </row>
    <row r="12" spans="1:6" s="161" customFormat="1">
      <c r="B12" s="322">
        <f t="shared" ca="1" si="0"/>
        <v>6</v>
      </c>
      <c r="C12" s="323" t="s">
        <v>238</v>
      </c>
      <c r="D12" s="324" t="s">
        <v>239</v>
      </c>
      <c r="E12" s="325" t="s">
        <v>203</v>
      </c>
      <c r="F12" s="317">
        <v>0.99200961796941245</v>
      </c>
    </row>
    <row r="13" spans="1:6" s="161" customFormat="1">
      <c r="B13" s="322">
        <f t="shared" ca="1" si="0"/>
        <v>7</v>
      </c>
      <c r="C13" s="323" t="s">
        <v>245</v>
      </c>
      <c r="D13" s="324" t="s">
        <v>246</v>
      </c>
      <c r="E13" s="325" t="s">
        <v>203</v>
      </c>
      <c r="F13" s="317">
        <v>0.80003806249853648</v>
      </c>
    </row>
    <row r="14" spans="1:6" s="161" customFormat="1">
      <c r="B14" s="322">
        <f t="shared" ca="1" si="0"/>
        <v>8</v>
      </c>
      <c r="C14" s="323" t="s">
        <v>249</v>
      </c>
      <c r="D14" s="324" t="s">
        <v>250</v>
      </c>
      <c r="E14" s="325" t="s">
        <v>204</v>
      </c>
      <c r="F14" s="317">
        <v>0.74153804494990516</v>
      </c>
    </row>
    <row r="15" spans="1:6" s="161" customFormat="1">
      <c r="B15" s="322">
        <f t="shared" ca="1" si="0"/>
        <v>9</v>
      </c>
      <c r="C15" s="323" t="s">
        <v>254</v>
      </c>
      <c r="D15" s="324" t="s">
        <v>378</v>
      </c>
      <c r="E15" s="325" t="s">
        <v>203</v>
      </c>
      <c r="F15" s="317">
        <v>0.9791788967546956</v>
      </c>
    </row>
    <row r="16" spans="1:6" s="161" customFormat="1">
      <c r="B16" s="322">
        <f t="shared" ca="1" si="0"/>
        <v>10</v>
      </c>
      <c r="C16" s="323" t="s">
        <v>256</v>
      </c>
      <c r="D16" s="324" t="s">
        <v>257</v>
      </c>
      <c r="E16" s="325" t="s">
        <v>203</v>
      </c>
      <c r="F16" s="317">
        <v>0.91415929203539825</v>
      </c>
    </row>
    <row r="17" spans="2:6" s="161" customFormat="1">
      <c r="B17" s="322">
        <f t="shared" ca="1" si="0"/>
        <v>11</v>
      </c>
      <c r="C17" s="323" t="s">
        <v>227</v>
      </c>
      <c r="D17" s="324" t="s">
        <v>228</v>
      </c>
      <c r="E17" s="325" t="s">
        <v>203</v>
      </c>
      <c r="F17" s="317">
        <v>0.88287103983173398</v>
      </c>
    </row>
    <row r="18" spans="2:6" s="161" customFormat="1">
      <c r="B18" s="322">
        <f t="shared" ca="1" si="0"/>
        <v>12</v>
      </c>
      <c r="C18" s="323" t="s">
        <v>361</v>
      </c>
      <c r="D18" s="324" t="s">
        <v>194</v>
      </c>
      <c r="E18" s="325" t="s">
        <v>204</v>
      </c>
      <c r="F18" s="317">
        <v>0.6468401360544217</v>
      </c>
    </row>
    <row r="19" spans="2:6" s="161" customFormat="1">
      <c r="B19" s="322">
        <f t="shared" ca="1" si="0"/>
        <v>13</v>
      </c>
      <c r="C19" s="323" t="s">
        <v>261</v>
      </c>
      <c r="D19" s="324" t="s">
        <v>262</v>
      </c>
      <c r="E19" s="325" t="s">
        <v>203</v>
      </c>
      <c r="F19" s="317">
        <v>0.82952291470925987</v>
      </c>
    </row>
    <row r="20" spans="2:6" s="161" customFormat="1">
      <c r="B20" s="322">
        <f t="shared" ca="1" si="0"/>
        <v>14</v>
      </c>
      <c r="C20" s="323" t="s">
        <v>263</v>
      </c>
      <c r="D20" s="324" t="s">
        <v>264</v>
      </c>
      <c r="E20" s="325" t="s">
        <v>203</v>
      </c>
      <c r="F20" s="317">
        <v>0.92081283634322686</v>
      </c>
    </row>
    <row r="21" spans="2:6" s="161" customFormat="1">
      <c r="B21" s="322">
        <f t="shared" ca="1" si="0"/>
        <v>15</v>
      </c>
      <c r="C21" s="323" t="s">
        <v>265</v>
      </c>
      <c r="D21" s="324" t="s">
        <v>266</v>
      </c>
      <c r="E21" s="325" t="s">
        <v>203</v>
      </c>
      <c r="F21" s="317">
        <v>1</v>
      </c>
    </row>
    <row r="22" spans="2:6" s="161" customFormat="1">
      <c r="B22" s="322">
        <f t="shared" ca="1" si="0"/>
        <v>16</v>
      </c>
      <c r="C22" s="323" t="s">
        <v>328</v>
      </c>
      <c r="D22" s="324" t="s">
        <v>331</v>
      </c>
      <c r="E22" s="325" t="s">
        <v>203</v>
      </c>
      <c r="F22" s="317">
        <v>1</v>
      </c>
    </row>
    <row r="23" spans="2:6" s="161" customFormat="1">
      <c r="B23" s="322">
        <f t="shared" ca="1" si="0"/>
        <v>17</v>
      </c>
      <c r="C23" s="323" t="s">
        <v>367</v>
      </c>
      <c r="D23" s="324" t="s">
        <v>368</v>
      </c>
      <c r="E23" s="325" t="s">
        <v>203</v>
      </c>
      <c r="F23" s="317">
        <v>1.0050576242524851</v>
      </c>
    </row>
    <row r="24" spans="2:6" s="161" customFormat="1">
      <c r="B24" s="322">
        <f t="shared" ca="1" si="0"/>
        <v>18</v>
      </c>
      <c r="C24" s="323" t="s">
        <v>267</v>
      </c>
      <c r="D24" s="324" t="s">
        <v>268</v>
      </c>
      <c r="E24" s="325" t="s">
        <v>203</v>
      </c>
      <c r="F24" s="317">
        <v>0.85910186466347471</v>
      </c>
    </row>
    <row r="25" spans="2:6" s="161" customFormat="1">
      <c r="B25" s="322">
        <f t="shared" ca="1" si="0"/>
        <v>19</v>
      </c>
      <c r="C25" s="323" t="s">
        <v>235</v>
      </c>
      <c r="D25" s="324" t="s">
        <v>236</v>
      </c>
      <c r="E25" s="325" t="s">
        <v>203</v>
      </c>
      <c r="F25" s="317">
        <v>0.95175979306939418</v>
      </c>
    </row>
    <row r="26" spans="2:6" s="161" customFormat="1">
      <c r="B26" s="322">
        <f t="shared" ca="1" si="0"/>
        <v>20</v>
      </c>
      <c r="C26" s="323" t="s">
        <v>269</v>
      </c>
      <c r="D26" s="324" t="s">
        <v>270</v>
      </c>
      <c r="E26" s="325" t="s">
        <v>194</v>
      </c>
      <c r="F26" s="317">
        <v>0.47381112136207332</v>
      </c>
    </row>
    <row r="27" spans="2:6" s="161" customFormat="1">
      <c r="B27" s="322">
        <f t="shared" ca="1" si="0"/>
        <v>21</v>
      </c>
      <c r="C27" s="323" t="s">
        <v>275</v>
      </c>
      <c r="D27" s="324" t="s">
        <v>276</v>
      </c>
      <c r="E27" s="325" t="s">
        <v>204</v>
      </c>
      <c r="F27" s="317">
        <v>0.67670109414221935</v>
      </c>
    </row>
    <row r="28" spans="2:6" s="161" customFormat="1">
      <c r="B28" s="322">
        <f t="shared" ca="1" si="0"/>
        <v>22</v>
      </c>
      <c r="C28" s="323" t="s">
        <v>352</v>
      </c>
      <c r="D28" s="324" t="s">
        <v>353</v>
      </c>
      <c r="E28" s="325" t="s">
        <v>203</v>
      </c>
      <c r="F28" s="317">
        <v>1.0285791443949863</v>
      </c>
    </row>
    <row r="29" spans="2:6" s="161" customFormat="1">
      <c r="B29" s="322">
        <f t="shared" ca="1" si="0"/>
        <v>23</v>
      </c>
      <c r="C29" s="323" t="s">
        <v>279</v>
      </c>
      <c r="D29" s="324" t="s">
        <v>280</v>
      </c>
      <c r="E29" s="325" t="s">
        <v>194</v>
      </c>
      <c r="F29" s="317">
        <v>0.48176077819232183</v>
      </c>
    </row>
    <row r="30" spans="2:6" s="161" customFormat="1">
      <c r="B30" s="322">
        <f t="shared" ca="1" si="0"/>
        <v>24</v>
      </c>
      <c r="C30" s="323" t="s">
        <v>283</v>
      </c>
      <c r="D30" s="324" t="s">
        <v>284</v>
      </c>
      <c r="E30" s="325" t="s">
        <v>203</v>
      </c>
      <c r="F30" s="317">
        <v>0.99095531131201209</v>
      </c>
    </row>
    <row r="31" spans="2:6" s="161" customFormat="1">
      <c r="B31" s="322">
        <f t="shared" ca="1" si="0"/>
        <v>25</v>
      </c>
      <c r="C31" s="323" t="s">
        <v>271</v>
      </c>
      <c r="D31" s="324" t="s">
        <v>272</v>
      </c>
      <c r="E31" s="325" t="s">
        <v>204</v>
      </c>
      <c r="F31" s="317">
        <v>0.50850668898945151</v>
      </c>
    </row>
    <row r="32" spans="2:6" s="161" customFormat="1">
      <c r="B32" s="322">
        <f t="shared" ca="1" si="0"/>
        <v>26</v>
      </c>
      <c r="C32" s="323" t="s">
        <v>308</v>
      </c>
      <c r="D32" s="324" t="s">
        <v>461</v>
      </c>
      <c r="E32" s="325" t="s">
        <v>204</v>
      </c>
      <c r="F32" s="317">
        <v>0.77746229357018903</v>
      </c>
    </row>
    <row r="33" spans="2:6" s="161" customFormat="1">
      <c r="B33" s="322">
        <f t="shared" ca="1" si="0"/>
        <v>27</v>
      </c>
      <c r="C33" s="323" t="s">
        <v>240</v>
      </c>
      <c r="D33" s="324" t="s">
        <v>241</v>
      </c>
      <c r="E33" s="325" t="s">
        <v>204</v>
      </c>
      <c r="F33" s="317">
        <v>0.51556153687605333</v>
      </c>
    </row>
    <row r="34" spans="2:6" s="161" customFormat="1">
      <c r="B34" s="322">
        <f t="shared" ca="1" si="0"/>
        <v>28</v>
      </c>
      <c r="C34" s="323" t="s">
        <v>273</v>
      </c>
      <c r="D34" s="324" t="s">
        <v>274</v>
      </c>
      <c r="E34" s="325" t="s">
        <v>203</v>
      </c>
      <c r="F34" s="317">
        <v>0.87807917679005287</v>
      </c>
    </row>
    <row r="35" spans="2:6" s="161" customFormat="1">
      <c r="B35" s="322">
        <f t="shared" ca="1" si="0"/>
        <v>29</v>
      </c>
      <c r="C35" s="323" t="s">
        <v>297</v>
      </c>
      <c r="D35" s="324" t="s">
        <v>298</v>
      </c>
      <c r="E35" s="325" t="s">
        <v>203</v>
      </c>
      <c r="F35" s="317">
        <v>0.99859509267538604</v>
      </c>
    </row>
    <row r="36" spans="2:6" s="161" customFormat="1">
      <c r="B36" s="322">
        <f t="shared" ca="1" si="0"/>
        <v>30</v>
      </c>
      <c r="C36" s="323" t="s">
        <v>277</v>
      </c>
      <c r="D36" s="324" t="s">
        <v>278</v>
      </c>
      <c r="E36" s="325" t="s">
        <v>203</v>
      </c>
      <c r="F36" s="317">
        <v>0.89001187821701711</v>
      </c>
    </row>
    <row r="37" spans="2:6" s="161" customFormat="1">
      <c r="B37" s="322">
        <f t="shared" ca="1" si="0"/>
        <v>31</v>
      </c>
      <c r="C37" s="323" t="s">
        <v>299</v>
      </c>
      <c r="D37" s="324" t="s">
        <v>300</v>
      </c>
      <c r="E37" s="325" t="s">
        <v>203</v>
      </c>
      <c r="F37" s="317">
        <v>0.83639005680694867</v>
      </c>
    </row>
    <row r="38" spans="2:6" s="161" customFormat="1">
      <c r="B38" s="322">
        <f t="shared" ca="1" si="0"/>
        <v>32</v>
      </c>
      <c r="C38" s="323" t="s">
        <v>301</v>
      </c>
      <c r="D38" s="324" t="s">
        <v>302</v>
      </c>
      <c r="E38" s="325" t="s">
        <v>203</v>
      </c>
      <c r="F38" s="317">
        <v>1</v>
      </c>
    </row>
    <row r="39" spans="2:6" s="161" customFormat="1">
      <c r="B39" s="322">
        <f t="shared" ca="1" si="0"/>
        <v>33</v>
      </c>
      <c r="C39" s="323" t="s">
        <v>281</v>
      </c>
      <c r="D39" s="324" t="s">
        <v>282</v>
      </c>
      <c r="E39" s="325" t="s">
        <v>203</v>
      </c>
      <c r="F39" s="317">
        <v>0.99693404252176143</v>
      </c>
    </row>
    <row r="40" spans="2:6" s="161" customFormat="1">
      <c r="B40" s="322">
        <f t="shared" ca="1" si="0"/>
        <v>34</v>
      </c>
      <c r="C40" s="323" t="s">
        <v>303</v>
      </c>
      <c r="D40" s="324" t="s">
        <v>304</v>
      </c>
      <c r="E40" s="325" t="s">
        <v>203</v>
      </c>
      <c r="F40" s="317">
        <v>1</v>
      </c>
    </row>
    <row r="41" spans="2:6" s="161" customFormat="1">
      <c r="B41" s="322">
        <f t="shared" ca="1" si="0"/>
        <v>35</v>
      </c>
      <c r="C41" s="323" t="s">
        <v>285</v>
      </c>
      <c r="D41" s="324" t="s">
        <v>286</v>
      </c>
      <c r="E41" s="325" t="s">
        <v>203</v>
      </c>
      <c r="F41" s="317">
        <v>1</v>
      </c>
    </row>
    <row r="42" spans="2:6" s="161" customFormat="1">
      <c r="B42" s="322">
        <f t="shared" ca="1" si="0"/>
        <v>36</v>
      </c>
      <c r="C42" s="323" t="s">
        <v>243</v>
      </c>
      <c r="D42" s="324" t="s">
        <v>244</v>
      </c>
      <c r="E42" s="325" t="s">
        <v>203</v>
      </c>
      <c r="F42" s="317">
        <v>0.99071270451133564</v>
      </c>
    </row>
    <row r="43" spans="2:6" s="161" customFormat="1">
      <c r="B43" s="322">
        <f t="shared" ca="1" si="0"/>
        <v>37</v>
      </c>
      <c r="C43" s="323" t="s">
        <v>289</v>
      </c>
      <c r="D43" s="324" t="s">
        <v>290</v>
      </c>
      <c r="E43" s="325" t="s">
        <v>204</v>
      </c>
      <c r="F43" s="317">
        <v>0.63079792193952311</v>
      </c>
    </row>
    <row r="44" spans="2:6" s="161" customFormat="1">
      <c r="B44" s="322">
        <f t="shared" ca="1" si="0"/>
        <v>38</v>
      </c>
      <c r="C44" s="323" t="s">
        <v>347</v>
      </c>
      <c r="D44" s="324" t="s">
        <v>348</v>
      </c>
      <c r="E44" s="325" t="s">
        <v>204</v>
      </c>
      <c r="F44" s="317">
        <v>0.7867141024145573</v>
      </c>
    </row>
    <row r="45" spans="2:6" s="161" customFormat="1">
      <c r="B45" s="322">
        <f t="shared" ca="1" si="0"/>
        <v>39</v>
      </c>
      <c r="C45" s="323" t="s">
        <v>291</v>
      </c>
      <c r="D45" s="324" t="s">
        <v>292</v>
      </c>
      <c r="E45" s="325" t="s">
        <v>204</v>
      </c>
      <c r="F45" s="317">
        <v>0.78586206561360905</v>
      </c>
    </row>
    <row r="46" spans="2:6" s="161" customFormat="1">
      <c r="B46" s="322">
        <f t="shared" ca="1" si="0"/>
        <v>40</v>
      </c>
      <c r="C46" s="323" t="s">
        <v>293</v>
      </c>
      <c r="D46" s="324" t="s">
        <v>294</v>
      </c>
      <c r="E46" s="325" t="s">
        <v>203</v>
      </c>
      <c r="F46" s="317">
        <v>0.88168747925125768</v>
      </c>
    </row>
    <row r="47" spans="2:6" s="161" customFormat="1">
      <c r="B47" s="322">
        <f t="shared" ca="1" si="0"/>
        <v>41</v>
      </c>
      <c r="C47" s="323" t="s">
        <v>369</v>
      </c>
      <c r="D47" s="324" t="s">
        <v>375</v>
      </c>
      <c r="E47" s="325" t="s">
        <v>203</v>
      </c>
      <c r="F47" s="317">
        <v>1.0477954715380926</v>
      </c>
    </row>
    <row r="48" spans="2:6" s="161" customFormat="1">
      <c r="B48" s="322">
        <f t="shared" ca="1" si="0"/>
        <v>42</v>
      </c>
      <c r="C48" s="323" t="s">
        <v>295</v>
      </c>
      <c r="D48" s="324" t="s">
        <v>296</v>
      </c>
      <c r="E48" s="325" t="s">
        <v>203</v>
      </c>
      <c r="F48" s="317">
        <v>0.96855886850152895</v>
      </c>
    </row>
    <row r="49" spans="2:6" s="161" customFormat="1">
      <c r="B49" s="322">
        <f t="shared" ca="1" si="0"/>
        <v>43</v>
      </c>
      <c r="C49" s="323" t="s">
        <v>345</v>
      </c>
      <c r="D49" s="324" t="s">
        <v>346</v>
      </c>
      <c r="E49" s="325" t="s">
        <v>203</v>
      </c>
      <c r="F49" s="317">
        <v>0.82990443446274409</v>
      </c>
    </row>
    <row r="50" spans="2:6" s="161" customFormat="1">
      <c r="B50" s="322">
        <f t="shared" ca="1" si="0"/>
        <v>44</v>
      </c>
      <c r="C50" s="323" t="s">
        <v>595</v>
      </c>
      <c r="D50" s="324" t="s">
        <v>248</v>
      </c>
      <c r="E50" s="325" t="s">
        <v>203</v>
      </c>
      <c r="F50" s="317">
        <v>1</v>
      </c>
    </row>
    <row r="51" spans="2:6" s="161" customFormat="1">
      <c r="B51" s="322">
        <f t="shared" ca="1" si="0"/>
        <v>45</v>
      </c>
      <c r="C51" s="323" t="s">
        <v>354</v>
      </c>
      <c r="D51" s="324" t="s">
        <v>355</v>
      </c>
      <c r="E51" s="325" t="s">
        <v>203</v>
      </c>
      <c r="F51" s="317">
        <v>0.98699999999999999</v>
      </c>
    </row>
    <row r="52" spans="2:6" s="161" customFormat="1">
      <c r="B52" s="322">
        <f t="shared" ca="1" si="0"/>
        <v>46</v>
      </c>
      <c r="C52" s="323" t="s">
        <v>251</v>
      </c>
      <c r="D52" s="324" t="s">
        <v>252</v>
      </c>
      <c r="E52" s="325" t="s">
        <v>203</v>
      </c>
      <c r="F52" s="317">
        <v>1.0439999999999998</v>
      </c>
    </row>
    <row r="53" spans="2:6" s="161" customFormat="1">
      <c r="B53" s="322"/>
      <c r="C53" s="323"/>
      <c r="D53" s="324"/>
      <c r="E53" s="325"/>
      <c r="F53" s="317"/>
    </row>
    <row r="54" spans="2:6" s="161" customFormat="1">
      <c r="B54" s="322"/>
      <c r="C54" s="323"/>
      <c r="D54" s="324"/>
      <c r="E54" s="325"/>
      <c r="F54" s="317"/>
    </row>
    <row r="55" spans="2:6" s="161" customFormat="1">
      <c r="B55" s="322"/>
      <c r="C55" s="323"/>
      <c r="D55" s="324"/>
      <c r="E55" s="325"/>
      <c r="F55" s="317"/>
    </row>
    <row r="56" spans="2:6" s="161" customFormat="1">
      <c r="B56" s="322"/>
      <c r="C56" s="323"/>
      <c r="D56" s="324"/>
      <c r="E56" s="325"/>
      <c r="F56" s="317"/>
    </row>
    <row r="57" spans="2:6" s="161" customFormat="1">
      <c r="B57" s="322">
        <f t="shared" ca="1" si="0"/>
        <v>1</v>
      </c>
      <c r="C57" s="323" t="s">
        <v>597</v>
      </c>
      <c r="D57" s="324" t="s">
        <v>260</v>
      </c>
      <c r="E57" s="325" t="s">
        <v>204</v>
      </c>
      <c r="F57" s="317">
        <v>1.0074832375478926</v>
      </c>
    </row>
    <row r="58" spans="2:6" s="161" customFormat="1">
      <c r="B58" s="322">
        <f t="shared" ca="1" si="0"/>
        <v>2</v>
      </c>
      <c r="C58" s="323" t="s">
        <v>601</v>
      </c>
      <c r="D58" s="324" t="s">
        <v>359</v>
      </c>
      <c r="E58" s="325" t="s">
        <v>203</v>
      </c>
      <c r="F58" s="317">
        <v>0.25970852978997</v>
      </c>
    </row>
    <row r="59" spans="2:6" s="161" customFormat="1">
      <c r="B59" s="322">
        <f t="shared" ca="1" si="0"/>
        <v>3</v>
      </c>
      <c r="C59" s="323" t="s">
        <v>598</v>
      </c>
      <c r="D59" s="324" t="s">
        <v>288</v>
      </c>
      <c r="E59" s="325" t="s">
        <v>203</v>
      </c>
      <c r="F59" s="317">
        <v>1</v>
      </c>
    </row>
    <row r="60" spans="2:6" s="161" customFormat="1">
      <c r="B60" s="322">
        <f t="shared" ca="1" si="0"/>
        <v>4</v>
      </c>
      <c r="C60" s="323" t="s">
        <v>599</v>
      </c>
      <c r="D60" s="324" t="s">
        <v>216</v>
      </c>
      <c r="E60" s="325" t="s">
        <v>203</v>
      </c>
      <c r="F60" s="317">
        <v>0.81867540481714463</v>
      </c>
    </row>
    <row r="61" spans="2:6" s="161" customFormat="1">
      <c r="B61" s="322">
        <f t="shared" ca="1" si="0"/>
        <v>5</v>
      </c>
      <c r="C61" s="323" t="s">
        <v>600</v>
      </c>
      <c r="D61" s="324" t="s">
        <v>306</v>
      </c>
      <c r="E61" s="325" t="s">
        <v>203</v>
      </c>
      <c r="F61" s="317">
        <v>0.95299999999999996</v>
      </c>
    </row>
    <row r="62" spans="2:6" s="161" customFormat="1">
      <c r="B62" s="162"/>
      <c r="D62" s="163"/>
      <c r="E62" s="164"/>
      <c r="F62" s="317"/>
    </row>
    <row r="63" spans="2:6" s="161" customFormat="1">
      <c r="B63" s="162"/>
      <c r="D63" s="163"/>
      <c r="E63" s="164"/>
      <c r="F63" s="317"/>
    </row>
    <row r="64" spans="2:6" s="161" customFormat="1">
      <c r="B64" s="162"/>
      <c r="D64" s="163"/>
      <c r="E64" s="164"/>
      <c r="F64" s="317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42004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162">
        <v>1</v>
      </c>
      <c r="C7" s="161" t="s">
        <v>217</v>
      </c>
      <c r="D7" s="163" t="s">
        <v>218</v>
      </c>
      <c r="E7" s="164" t="s">
        <v>203</v>
      </c>
      <c r="F7" s="317">
        <v>0.85066960190790675</v>
      </c>
    </row>
    <row r="8" spans="1:6" s="161" customFormat="1">
      <c r="B8" s="162">
        <v>2</v>
      </c>
      <c r="C8" s="161" t="s">
        <v>219</v>
      </c>
      <c r="D8" s="163" t="s">
        <v>220</v>
      </c>
      <c r="E8" s="164" t="s">
        <v>203</v>
      </c>
      <c r="F8" s="317">
        <v>0.87489553943024512</v>
      </c>
    </row>
    <row r="9" spans="1:6" s="161" customFormat="1">
      <c r="B9" s="162">
        <v>3</v>
      </c>
      <c r="C9" s="161" t="s">
        <v>225</v>
      </c>
      <c r="D9" s="163" t="s">
        <v>226</v>
      </c>
      <c r="E9" s="164" t="s">
        <v>203</v>
      </c>
      <c r="F9" s="317">
        <v>1</v>
      </c>
    </row>
    <row r="10" spans="1:6" s="161" customFormat="1">
      <c r="B10" s="162">
        <v>4</v>
      </c>
      <c r="C10" s="161" t="s">
        <v>222</v>
      </c>
      <c r="D10" s="163" t="s">
        <v>223</v>
      </c>
      <c r="E10" s="164" t="s">
        <v>203</v>
      </c>
      <c r="F10" s="317">
        <v>0.86898193953012592</v>
      </c>
    </row>
    <row r="11" spans="1:6" s="161" customFormat="1">
      <c r="B11" s="162">
        <v>5</v>
      </c>
      <c r="C11" s="161" t="s">
        <v>238</v>
      </c>
      <c r="D11" s="163" t="s">
        <v>239</v>
      </c>
      <c r="E11" s="164" t="s">
        <v>203</v>
      </c>
      <c r="F11" s="317">
        <v>0.98297869992579046</v>
      </c>
    </row>
    <row r="12" spans="1:6" s="161" customFormat="1">
      <c r="B12" s="162">
        <v>6</v>
      </c>
      <c r="C12" s="161" t="s">
        <v>245</v>
      </c>
      <c r="D12" s="163" t="s">
        <v>246</v>
      </c>
      <c r="E12" s="164" t="s">
        <v>203</v>
      </c>
      <c r="F12" s="317">
        <v>0.85415133302771207</v>
      </c>
    </row>
    <row r="13" spans="1:6" s="161" customFormat="1">
      <c r="B13" s="162">
        <v>7</v>
      </c>
      <c r="C13" s="161" t="s">
        <v>249</v>
      </c>
      <c r="D13" s="163" t="s">
        <v>250</v>
      </c>
      <c r="E13" s="164" t="s">
        <v>204</v>
      </c>
      <c r="F13" s="317">
        <v>0.65802997858672374</v>
      </c>
    </row>
    <row r="14" spans="1:6" s="161" customFormat="1">
      <c r="B14" s="162">
        <v>8</v>
      </c>
      <c r="C14" s="161" t="s">
        <v>254</v>
      </c>
      <c r="D14" s="163" t="s">
        <v>378</v>
      </c>
      <c r="E14" s="164" t="s">
        <v>203</v>
      </c>
      <c r="F14" s="317">
        <v>0.9689233314904776</v>
      </c>
    </row>
    <row r="15" spans="1:6" s="161" customFormat="1">
      <c r="B15" s="162">
        <v>9</v>
      </c>
      <c r="C15" s="161" t="s">
        <v>256</v>
      </c>
      <c r="D15" s="163" t="s">
        <v>257</v>
      </c>
      <c r="E15" s="164" t="s">
        <v>203</v>
      </c>
      <c r="F15" s="317">
        <v>0.88470158978368518</v>
      </c>
    </row>
    <row r="16" spans="1:6" s="161" customFormat="1">
      <c r="B16" s="162">
        <v>10</v>
      </c>
      <c r="C16" s="161" t="s">
        <v>227</v>
      </c>
      <c r="D16" s="163" t="s">
        <v>228</v>
      </c>
      <c r="E16" s="164" t="s">
        <v>203</v>
      </c>
      <c r="F16" s="317">
        <v>0.89796425024826221</v>
      </c>
    </row>
    <row r="17" spans="2:6" s="161" customFormat="1">
      <c r="B17" s="162">
        <v>11</v>
      </c>
      <c r="C17" s="161" t="s">
        <v>361</v>
      </c>
      <c r="D17" s="163" t="s">
        <v>194</v>
      </c>
      <c r="E17" s="164" t="s">
        <v>204</v>
      </c>
      <c r="F17" s="317">
        <v>0.60541110175358148</v>
      </c>
    </row>
    <row r="18" spans="2:6" s="161" customFormat="1">
      <c r="B18" s="162">
        <v>12</v>
      </c>
      <c r="C18" s="161" t="s">
        <v>261</v>
      </c>
      <c r="D18" s="163" t="s">
        <v>262</v>
      </c>
      <c r="E18" s="164" t="s">
        <v>203</v>
      </c>
      <c r="F18" s="317">
        <v>0.82212054050189465</v>
      </c>
    </row>
    <row r="19" spans="2:6" s="161" customFormat="1">
      <c r="B19" s="162">
        <v>13</v>
      </c>
      <c r="C19" s="161" t="s">
        <v>263</v>
      </c>
      <c r="D19" s="163" t="s">
        <v>264</v>
      </c>
      <c r="E19" s="164" t="s">
        <v>203</v>
      </c>
      <c r="F19" s="317">
        <v>0.88358780206943976</v>
      </c>
    </row>
    <row r="20" spans="2:6" s="161" customFormat="1">
      <c r="B20" s="162">
        <v>14</v>
      </c>
      <c r="C20" s="161" t="s">
        <v>265</v>
      </c>
      <c r="D20" s="163" t="s">
        <v>266</v>
      </c>
      <c r="E20" s="164" t="s">
        <v>203</v>
      </c>
      <c r="F20" s="317">
        <v>1</v>
      </c>
    </row>
    <row r="21" spans="2:6" s="161" customFormat="1">
      <c r="B21" s="162">
        <v>15</v>
      </c>
      <c r="C21" s="161" t="s">
        <v>328</v>
      </c>
      <c r="D21" s="163" t="s">
        <v>331</v>
      </c>
      <c r="E21" s="164" t="s">
        <v>203</v>
      </c>
      <c r="F21" s="317">
        <v>1</v>
      </c>
    </row>
    <row r="22" spans="2:6" s="161" customFormat="1">
      <c r="B22" s="162">
        <v>16</v>
      </c>
      <c r="C22" s="161" t="s">
        <v>367</v>
      </c>
      <c r="D22" s="163" t="s">
        <v>368</v>
      </c>
      <c r="E22" s="164" t="s">
        <v>203</v>
      </c>
      <c r="F22" s="317">
        <v>1.0050785355208813</v>
      </c>
    </row>
    <row r="23" spans="2:6" s="161" customFormat="1">
      <c r="B23" s="162">
        <v>17</v>
      </c>
      <c r="C23" s="161" t="s">
        <v>267</v>
      </c>
      <c r="D23" s="163" t="s">
        <v>268</v>
      </c>
      <c r="E23" s="164" t="s">
        <v>203</v>
      </c>
      <c r="F23" s="317">
        <v>0.82306200926438611</v>
      </c>
    </row>
    <row r="24" spans="2:6" s="161" customFormat="1">
      <c r="B24" s="162">
        <v>18</v>
      </c>
      <c r="C24" s="161" t="s">
        <v>269</v>
      </c>
      <c r="D24" s="163" t="s">
        <v>270</v>
      </c>
      <c r="E24" s="164" t="s">
        <v>204</v>
      </c>
      <c r="F24" s="317">
        <v>0.50006911327666048</v>
      </c>
    </row>
    <row r="25" spans="2:6" s="161" customFormat="1">
      <c r="B25" s="162">
        <v>19</v>
      </c>
      <c r="C25" s="161" t="s">
        <v>275</v>
      </c>
      <c r="D25" s="163" t="s">
        <v>276</v>
      </c>
      <c r="E25" s="164" t="s">
        <v>204</v>
      </c>
      <c r="F25" s="317">
        <v>0.66296054901660084</v>
      </c>
    </row>
    <row r="26" spans="2:6" s="161" customFormat="1">
      <c r="B26" s="162">
        <v>20</v>
      </c>
      <c r="C26" s="161" t="s">
        <v>352</v>
      </c>
      <c r="D26" s="163" t="s">
        <v>353</v>
      </c>
      <c r="E26" s="164" t="s">
        <v>203</v>
      </c>
      <c r="F26" s="317">
        <v>1.0258121175673225</v>
      </c>
    </row>
    <row r="27" spans="2:6" s="161" customFormat="1">
      <c r="B27" s="162">
        <v>21</v>
      </c>
      <c r="C27" s="161" t="s">
        <v>279</v>
      </c>
      <c r="D27" s="163" t="s">
        <v>280</v>
      </c>
      <c r="E27" s="164" t="s">
        <v>194</v>
      </c>
      <c r="F27" s="317">
        <v>0.49985483935719455</v>
      </c>
    </row>
    <row r="28" spans="2:6" s="161" customFormat="1">
      <c r="B28" s="162">
        <v>22</v>
      </c>
      <c r="C28" s="161" t="s">
        <v>283</v>
      </c>
      <c r="D28" s="163" t="s">
        <v>284</v>
      </c>
      <c r="E28" s="164" t="s">
        <v>203</v>
      </c>
      <c r="F28" s="317">
        <v>0.98311466116060708</v>
      </c>
    </row>
    <row r="29" spans="2:6" s="161" customFormat="1">
      <c r="B29" s="162">
        <v>23</v>
      </c>
      <c r="C29" s="161" t="s">
        <v>395</v>
      </c>
      <c r="D29" s="163" t="s">
        <v>396</v>
      </c>
      <c r="E29" s="164" t="s">
        <v>203</v>
      </c>
      <c r="F29" s="317">
        <v>0.91615848253855703</v>
      </c>
    </row>
    <row r="30" spans="2:6" s="161" customFormat="1">
      <c r="B30" s="162">
        <v>24</v>
      </c>
      <c r="C30" s="161" t="s">
        <v>271</v>
      </c>
      <c r="D30" s="163" t="s">
        <v>272</v>
      </c>
      <c r="E30" s="164" t="s">
        <v>194</v>
      </c>
      <c r="F30" s="317">
        <v>0.3793248841417991</v>
      </c>
    </row>
    <row r="31" spans="2:6" s="161" customFormat="1">
      <c r="B31" s="162">
        <v>25</v>
      </c>
      <c r="C31" s="161" t="s">
        <v>308</v>
      </c>
      <c r="D31" s="163" t="s">
        <v>461</v>
      </c>
      <c r="E31" s="164" t="s">
        <v>204</v>
      </c>
      <c r="F31" s="317">
        <v>0.78015169061523282</v>
      </c>
    </row>
    <row r="32" spans="2:6" s="161" customFormat="1">
      <c r="B32" s="162">
        <v>26</v>
      </c>
      <c r="C32" s="161" t="s">
        <v>240</v>
      </c>
      <c r="D32" s="163" t="s">
        <v>241</v>
      </c>
      <c r="E32" s="164" t="s">
        <v>204</v>
      </c>
      <c r="F32" s="317">
        <v>0.52458994514807356</v>
      </c>
    </row>
    <row r="33" spans="2:6" s="161" customFormat="1">
      <c r="B33" s="162">
        <v>27</v>
      </c>
      <c r="C33" s="161" t="s">
        <v>273</v>
      </c>
      <c r="D33" s="163" t="s">
        <v>274</v>
      </c>
      <c r="E33" s="164" t="s">
        <v>204</v>
      </c>
      <c r="F33" s="317">
        <v>0.58274049617353607</v>
      </c>
    </row>
    <row r="34" spans="2:6" s="161" customFormat="1">
      <c r="B34" s="162">
        <v>28</v>
      </c>
      <c r="C34" s="161" t="s">
        <v>235</v>
      </c>
      <c r="D34" s="163" t="s">
        <v>236</v>
      </c>
      <c r="E34" s="164" t="s">
        <v>203</v>
      </c>
      <c r="F34" s="317">
        <v>0.9476761367452482</v>
      </c>
    </row>
    <row r="35" spans="2:6" s="161" customFormat="1">
      <c r="B35" s="162">
        <v>29</v>
      </c>
      <c r="C35" s="161" t="s">
        <v>297</v>
      </c>
      <c r="D35" s="163" t="s">
        <v>298</v>
      </c>
      <c r="E35" s="164" t="s">
        <v>203</v>
      </c>
      <c r="F35" s="317">
        <v>0.99831481784170029</v>
      </c>
    </row>
    <row r="36" spans="2:6" s="161" customFormat="1">
      <c r="B36" s="162">
        <v>30</v>
      </c>
      <c r="C36" s="161" t="s">
        <v>277</v>
      </c>
      <c r="D36" s="163" t="s">
        <v>278</v>
      </c>
      <c r="E36" s="164" t="s">
        <v>203</v>
      </c>
      <c r="F36" s="317">
        <v>0.8675874808455255</v>
      </c>
    </row>
    <row r="37" spans="2:6" s="161" customFormat="1">
      <c r="B37" s="162">
        <v>31</v>
      </c>
      <c r="C37" s="161" t="s">
        <v>299</v>
      </c>
      <c r="D37" s="163" t="s">
        <v>300</v>
      </c>
      <c r="E37" s="164" t="s">
        <v>203</v>
      </c>
      <c r="F37" s="317">
        <v>0.82212039553860683</v>
      </c>
    </row>
    <row r="38" spans="2:6" s="161" customFormat="1">
      <c r="B38" s="162">
        <v>32</v>
      </c>
      <c r="C38" s="161" t="s">
        <v>382</v>
      </c>
      <c r="D38" s="163" t="s">
        <v>383</v>
      </c>
      <c r="E38" s="164" t="s">
        <v>203</v>
      </c>
      <c r="F38" s="317">
        <v>0.87566221995276694</v>
      </c>
    </row>
    <row r="39" spans="2:6" s="161" customFormat="1">
      <c r="B39" s="162">
        <v>33</v>
      </c>
      <c r="C39" s="161" t="s">
        <v>301</v>
      </c>
      <c r="D39" s="163" t="s">
        <v>302</v>
      </c>
      <c r="E39" s="164" t="s">
        <v>203</v>
      </c>
      <c r="F39" s="317">
        <v>1</v>
      </c>
    </row>
    <row r="40" spans="2:6" s="161" customFormat="1">
      <c r="B40" s="162">
        <v>34</v>
      </c>
      <c r="C40" s="161" t="s">
        <v>281</v>
      </c>
      <c r="D40" s="163" t="s">
        <v>282</v>
      </c>
      <c r="E40" s="164" t="s">
        <v>203</v>
      </c>
      <c r="F40" s="317">
        <v>1</v>
      </c>
    </row>
    <row r="41" spans="2:6" s="161" customFormat="1">
      <c r="B41" s="162">
        <v>35</v>
      </c>
      <c r="C41" s="161" t="s">
        <v>303</v>
      </c>
      <c r="D41" s="163" t="s">
        <v>304</v>
      </c>
      <c r="E41" s="164" t="s">
        <v>203</v>
      </c>
      <c r="F41" s="317">
        <v>0.9801980503746146</v>
      </c>
    </row>
    <row r="42" spans="2:6" s="161" customFormat="1">
      <c r="B42" s="162">
        <v>36</v>
      </c>
      <c r="C42" s="161" t="s">
        <v>285</v>
      </c>
      <c r="D42" s="163" t="s">
        <v>286</v>
      </c>
      <c r="E42" s="164" t="s">
        <v>203</v>
      </c>
      <c r="F42" s="317">
        <v>1</v>
      </c>
    </row>
    <row r="43" spans="2:6" s="161" customFormat="1">
      <c r="B43" s="162">
        <v>37</v>
      </c>
      <c r="C43" s="161" t="s">
        <v>243</v>
      </c>
      <c r="D43" s="163" t="s">
        <v>244</v>
      </c>
      <c r="E43" s="164" t="s">
        <v>204</v>
      </c>
      <c r="F43" s="317">
        <v>0.74817741739001753</v>
      </c>
    </row>
    <row r="44" spans="2:6" s="161" customFormat="1">
      <c r="B44" s="162">
        <v>38</v>
      </c>
      <c r="C44" s="161" t="s">
        <v>289</v>
      </c>
      <c r="D44" s="163" t="s">
        <v>290</v>
      </c>
      <c r="E44" s="164" t="s">
        <v>204</v>
      </c>
      <c r="F44" s="317">
        <v>0.62895876376192228</v>
      </c>
    </row>
    <row r="45" spans="2:6" s="161" customFormat="1">
      <c r="B45" s="162">
        <v>39</v>
      </c>
      <c r="C45" s="161" t="s">
        <v>347</v>
      </c>
      <c r="D45" s="163" t="s">
        <v>348</v>
      </c>
      <c r="E45" s="164" t="s">
        <v>204</v>
      </c>
      <c r="F45" s="317">
        <v>0.75178020413007363</v>
      </c>
    </row>
    <row r="46" spans="2:6" s="161" customFormat="1">
      <c r="B46" s="162">
        <v>40</v>
      </c>
      <c r="C46" s="161" t="s">
        <v>291</v>
      </c>
      <c r="D46" s="163" t="s">
        <v>292</v>
      </c>
      <c r="E46" s="164" t="s">
        <v>204</v>
      </c>
      <c r="F46" s="317">
        <v>0.75848182824927013</v>
      </c>
    </row>
    <row r="47" spans="2:6" s="161" customFormat="1">
      <c r="B47" s="162">
        <v>41</v>
      </c>
      <c r="C47" s="161" t="s">
        <v>293</v>
      </c>
      <c r="D47" s="163" t="s">
        <v>294</v>
      </c>
      <c r="E47" s="164" t="s">
        <v>203</v>
      </c>
      <c r="F47" s="317">
        <v>0.911467366016666</v>
      </c>
    </row>
    <row r="48" spans="2:6" s="161" customFormat="1">
      <c r="B48" s="162">
        <v>42</v>
      </c>
      <c r="C48" s="161" t="s">
        <v>369</v>
      </c>
      <c r="D48" s="163" t="s">
        <v>375</v>
      </c>
      <c r="E48" s="164" t="s">
        <v>203</v>
      </c>
      <c r="F48" s="317">
        <v>1.0182439091471658</v>
      </c>
    </row>
    <row r="49" spans="2:6" s="161" customFormat="1">
      <c r="B49" s="162">
        <v>43</v>
      </c>
      <c r="C49" s="161" t="s">
        <v>389</v>
      </c>
      <c r="D49" s="163" t="s">
        <v>390</v>
      </c>
      <c r="E49" s="164" t="s">
        <v>203</v>
      </c>
      <c r="F49" s="317">
        <v>0.97107572768433081</v>
      </c>
    </row>
    <row r="50" spans="2:6" s="161" customFormat="1">
      <c r="B50" s="162">
        <v>44</v>
      </c>
      <c r="C50" s="161" t="s">
        <v>295</v>
      </c>
      <c r="D50" s="163" t="s">
        <v>296</v>
      </c>
      <c r="E50" s="164" t="s">
        <v>203</v>
      </c>
      <c r="F50" s="317">
        <v>0.98020395920815839</v>
      </c>
    </row>
    <row r="51" spans="2:6" s="161" customFormat="1">
      <c r="B51" s="162">
        <v>45</v>
      </c>
      <c r="C51" s="161" t="s">
        <v>345</v>
      </c>
      <c r="D51" s="163" t="s">
        <v>346</v>
      </c>
      <c r="E51" s="164" t="s">
        <v>204</v>
      </c>
      <c r="F51" s="317">
        <v>0.82606590085814458</v>
      </c>
    </row>
    <row r="52" spans="2:6" s="161" customFormat="1">
      <c r="B52" s="162">
        <v>46</v>
      </c>
      <c r="C52" s="161" t="s">
        <v>354</v>
      </c>
      <c r="D52" s="163" t="s">
        <v>355</v>
      </c>
      <c r="E52" s="164" t="s">
        <v>203</v>
      </c>
      <c r="F52" s="317">
        <v>1</v>
      </c>
    </row>
    <row r="53" spans="2:6" s="161" customFormat="1">
      <c r="B53" s="162">
        <v>47</v>
      </c>
      <c r="C53" s="161" t="s">
        <v>247</v>
      </c>
      <c r="D53" s="163" t="s">
        <v>248</v>
      </c>
      <c r="E53" s="164" t="s">
        <v>203</v>
      </c>
      <c r="F53" s="317">
        <v>0.98347336349367565</v>
      </c>
    </row>
    <row r="54" spans="2:6" s="161" customFormat="1">
      <c r="B54" s="162">
        <v>48</v>
      </c>
      <c r="C54" s="161" t="s">
        <v>251</v>
      </c>
      <c r="D54" s="163" t="s">
        <v>252</v>
      </c>
      <c r="E54" s="164" t="s">
        <v>203</v>
      </c>
      <c r="F54" s="317">
        <v>0.99337195892319707</v>
      </c>
    </row>
    <row r="55" spans="2:6" s="161" customFormat="1">
      <c r="B55" s="162"/>
      <c r="D55" s="163"/>
      <c r="E55" s="164"/>
      <c r="F55" s="317"/>
    </row>
    <row r="56" spans="2:6" s="161" customFormat="1">
      <c r="B56" s="162">
        <v>1</v>
      </c>
      <c r="C56" s="320" t="s">
        <v>381</v>
      </c>
      <c r="D56" s="321" t="s">
        <v>234</v>
      </c>
      <c r="E56" s="164" t="s">
        <v>203</v>
      </c>
      <c r="F56" s="317">
        <v>1</v>
      </c>
    </row>
    <row r="57" spans="2:6" s="161" customFormat="1">
      <c r="B57" s="162">
        <v>2</v>
      </c>
      <c r="C57" s="161" t="s">
        <v>597</v>
      </c>
      <c r="D57" s="163" t="s">
        <v>260</v>
      </c>
      <c r="E57" s="164" t="s">
        <v>203</v>
      </c>
      <c r="F57" s="317">
        <v>1</v>
      </c>
    </row>
    <row r="58" spans="2:6" s="161" customFormat="1">
      <c r="B58" s="162">
        <v>3</v>
      </c>
      <c r="C58" s="161" t="s">
        <v>601</v>
      </c>
      <c r="D58" s="163" t="s">
        <v>359</v>
      </c>
      <c r="E58" s="164" t="s">
        <v>194</v>
      </c>
      <c r="F58" s="317">
        <v>0.20685175054704596</v>
      </c>
    </row>
    <row r="59" spans="2:6" s="161" customFormat="1">
      <c r="B59" s="162">
        <v>4</v>
      </c>
      <c r="C59" s="161" t="s">
        <v>598</v>
      </c>
      <c r="D59" s="163" t="s">
        <v>288</v>
      </c>
      <c r="E59" s="164" t="s">
        <v>203</v>
      </c>
      <c r="F59" s="317">
        <v>1</v>
      </c>
    </row>
    <row r="60" spans="2:6" s="161" customFormat="1">
      <c r="B60" s="162">
        <v>5</v>
      </c>
      <c r="C60" s="161" t="s">
        <v>599</v>
      </c>
      <c r="D60" s="163" t="s">
        <v>216</v>
      </c>
      <c r="E60" s="164" t="s">
        <v>204</v>
      </c>
      <c r="F60" s="317">
        <v>0.78488758123806135</v>
      </c>
    </row>
    <row r="61" spans="2:6" s="161" customFormat="1">
      <c r="B61" s="162">
        <v>6</v>
      </c>
      <c r="C61" s="161" t="s">
        <v>600</v>
      </c>
      <c r="D61" s="163" t="s">
        <v>306</v>
      </c>
      <c r="E61" s="164" t="s">
        <v>203</v>
      </c>
      <c r="F61" s="317">
        <v>0.95403000000000004</v>
      </c>
    </row>
    <row r="62" spans="2:6" s="161" customFormat="1">
      <c r="B62" s="162"/>
      <c r="D62" s="163"/>
      <c r="E62" s="164"/>
      <c r="F62" s="317"/>
    </row>
    <row r="63" spans="2:6" s="161" customFormat="1">
      <c r="B63" s="162">
        <v>1</v>
      </c>
      <c r="C63" s="161" t="s">
        <v>418</v>
      </c>
      <c r="D63" s="163" t="s">
        <v>453</v>
      </c>
      <c r="E63" s="164"/>
    </row>
    <row r="64" spans="2:6" s="161" customFormat="1">
      <c r="B64" s="162">
        <v>2</v>
      </c>
      <c r="C64" s="161" t="s">
        <v>411</v>
      </c>
      <c r="D64" s="163" t="s">
        <v>412</v>
      </c>
      <c r="E64" s="164"/>
    </row>
    <row r="65" spans="2:6" s="161" customFormat="1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pane="bottomRight" activeCell="E3" sqref="E3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">
      <c r="A1" s="153" t="s">
        <v>592</v>
      </c>
      <c r="C1" s="154"/>
    </row>
    <row r="3" spans="1:6">
      <c r="E3" s="165">
        <v>41639</v>
      </c>
    </row>
    <row r="5" spans="1:6" s="156" customFormat="1" ht="27.6">
      <c r="C5" s="157" t="s">
        <v>212</v>
      </c>
      <c r="D5" s="158" t="s">
        <v>593</v>
      </c>
      <c r="E5" s="159" t="s">
        <v>594</v>
      </c>
    </row>
    <row r="6" spans="1:6">
      <c r="E6" s="160"/>
    </row>
    <row r="7" spans="1:6" s="161" customFormat="1">
      <c r="B7" s="162">
        <f t="shared" ref="B7:B62" ca="1" si="0">OFFSET( B7, -1, 0 ) + 1</f>
        <v>1</v>
      </c>
      <c r="C7" s="161" t="s">
        <v>217</v>
      </c>
      <c r="D7" s="163" t="s">
        <v>218</v>
      </c>
      <c r="E7" s="164" t="s">
        <v>203</v>
      </c>
      <c r="F7" s="317">
        <v>0.90911182696732629</v>
      </c>
    </row>
    <row r="8" spans="1:6" s="161" customFormat="1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  <c r="F8" s="317">
        <v>0.88890788668514453</v>
      </c>
    </row>
    <row r="9" spans="1:6" s="161" customFormat="1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  <c r="F9" s="317">
        <v>0.97514010633711745</v>
      </c>
    </row>
    <row r="10" spans="1:6" s="161" customFormat="1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  <c r="F10" s="317">
        <v>0.8323465806360123</v>
      </c>
    </row>
    <row r="11" spans="1:6" s="161" customFormat="1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  <c r="F11" s="317">
        <v>0.9035001305616811</v>
      </c>
    </row>
    <row r="12" spans="1:6" s="161" customFormat="1">
      <c r="B12" s="162">
        <f t="shared" ca="1" si="0"/>
        <v>6</v>
      </c>
      <c r="C12" s="161" t="s">
        <v>245</v>
      </c>
      <c r="D12" s="163" t="s">
        <v>246</v>
      </c>
      <c r="E12" s="164" t="s">
        <v>203</v>
      </c>
      <c r="F12" s="317">
        <v>0.85971896000648229</v>
      </c>
    </row>
    <row r="13" spans="1:6" s="161" customFormat="1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  <c r="F13" s="317">
        <v>0.66671239140374938</v>
      </c>
    </row>
    <row r="14" spans="1:6" s="161" customFormat="1">
      <c r="B14" s="162">
        <f t="shared" ca="1" si="0"/>
        <v>8</v>
      </c>
      <c r="C14" s="161" t="s">
        <v>254</v>
      </c>
      <c r="D14" s="163" t="s">
        <v>378</v>
      </c>
      <c r="E14" s="164" t="s">
        <v>203</v>
      </c>
      <c r="F14" s="317">
        <v>0.93557933053746112</v>
      </c>
    </row>
    <row r="15" spans="1:6" s="161" customFormat="1">
      <c r="B15" s="162">
        <f t="shared" ca="1" si="0"/>
        <v>9</v>
      </c>
      <c r="C15" s="161" t="s">
        <v>256</v>
      </c>
      <c r="D15" s="163" t="s">
        <v>257</v>
      </c>
      <c r="E15" s="164" t="s">
        <v>203</v>
      </c>
      <c r="F15" s="317">
        <v>0.87683739090491497</v>
      </c>
    </row>
    <row r="16" spans="1:6" s="161" customFormat="1">
      <c r="B16" s="162">
        <f t="shared" ca="1" si="0"/>
        <v>10</v>
      </c>
      <c r="C16" s="161" t="s">
        <v>227</v>
      </c>
      <c r="D16" s="163" t="s">
        <v>228</v>
      </c>
      <c r="E16" s="164" t="s">
        <v>203</v>
      </c>
      <c r="F16" s="317">
        <v>0.89118508130981378</v>
      </c>
    </row>
    <row r="17" spans="2:6" s="161" customFormat="1">
      <c r="B17" s="162">
        <f t="shared" ca="1" si="0"/>
        <v>11</v>
      </c>
      <c r="C17" s="161" t="s">
        <v>361</v>
      </c>
      <c r="D17" s="163" t="s">
        <v>194</v>
      </c>
      <c r="E17" s="164" t="s">
        <v>204</v>
      </c>
      <c r="F17" s="317">
        <v>0.6031767271522398</v>
      </c>
    </row>
    <row r="18" spans="2:6" s="161" customFormat="1">
      <c r="B18" s="162">
        <f t="shared" ca="1" si="0"/>
        <v>12</v>
      </c>
      <c r="C18" s="161" t="s">
        <v>261</v>
      </c>
      <c r="D18" s="163" t="s">
        <v>262</v>
      </c>
      <c r="E18" s="164" t="s">
        <v>203</v>
      </c>
      <c r="F18" s="317">
        <v>0.82691343743975321</v>
      </c>
    </row>
    <row r="19" spans="2:6" s="161" customFormat="1">
      <c r="B19" s="162">
        <f t="shared" ca="1" si="0"/>
        <v>13</v>
      </c>
      <c r="C19" s="161" t="s">
        <v>263</v>
      </c>
      <c r="D19" s="163" t="s">
        <v>264</v>
      </c>
      <c r="E19" s="164" t="s">
        <v>203</v>
      </c>
      <c r="F19" s="317">
        <v>0.87022887461992182</v>
      </c>
    </row>
    <row r="20" spans="2:6" s="161" customFormat="1">
      <c r="B20" s="162">
        <f t="shared" ca="1" si="0"/>
        <v>14</v>
      </c>
      <c r="C20" s="161" t="s">
        <v>265</v>
      </c>
      <c r="D20" s="163" t="s">
        <v>266</v>
      </c>
      <c r="E20" s="164" t="s">
        <v>203</v>
      </c>
      <c r="F20" s="317">
        <v>1</v>
      </c>
    </row>
    <row r="21" spans="2:6" s="161" customFormat="1">
      <c r="B21" s="162">
        <f t="shared" ca="1" si="0"/>
        <v>15</v>
      </c>
      <c r="C21" s="161" t="s">
        <v>328</v>
      </c>
      <c r="D21" s="163" t="s">
        <v>331</v>
      </c>
      <c r="E21" s="164" t="s">
        <v>203</v>
      </c>
      <c r="F21" s="317">
        <v>1</v>
      </c>
    </row>
    <row r="22" spans="2:6" s="161" customFormat="1">
      <c r="B22" s="162">
        <f t="shared" ca="1" si="0"/>
        <v>16</v>
      </c>
      <c r="C22" s="161" t="s">
        <v>367</v>
      </c>
      <c r="D22" s="163" t="s">
        <v>368</v>
      </c>
      <c r="E22" s="164" t="s">
        <v>203</v>
      </c>
      <c r="F22" s="317">
        <v>1.0060255146162436</v>
      </c>
    </row>
    <row r="23" spans="2:6" s="161" customFormat="1">
      <c r="B23" s="162">
        <f t="shared" ca="1" si="0"/>
        <v>17</v>
      </c>
      <c r="C23" s="161" t="s">
        <v>267</v>
      </c>
      <c r="D23" s="163" t="s">
        <v>268</v>
      </c>
      <c r="E23" s="164" t="s">
        <v>203</v>
      </c>
      <c r="F23" s="317">
        <v>0.81876283997081911</v>
      </c>
    </row>
    <row r="24" spans="2:6" s="161" customFormat="1">
      <c r="B24" s="162">
        <f t="shared" ca="1" si="0"/>
        <v>18</v>
      </c>
      <c r="C24" s="161" t="s">
        <v>269</v>
      </c>
      <c r="D24" s="163" t="s">
        <v>270</v>
      </c>
      <c r="E24" s="164" t="s">
        <v>204</v>
      </c>
      <c r="F24" s="317">
        <v>0.52044442220109099</v>
      </c>
    </row>
    <row r="25" spans="2:6" s="161" customFormat="1">
      <c r="B25" s="162">
        <f t="shared" ca="1" si="0"/>
        <v>19</v>
      </c>
      <c r="C25" s="161" t="s">
        <v>275</v>
      </c>
      <c r="D25" s="163" t="s">
        <v>276</v>
      </c>
      <c r="E25" s="164" t="s">
        <v>204</v>
      </c>
      <c r="F25" s="317">
        <v>0.65306203395208628</v>
      </c>
    </row>
    <row r="26" spans="2:6" s="161" customFormat="1">
      <c r="B26" s="162">
        <f t="shared" ca="1" si="0"/>
        <v>20</v>
      </c>
      <c r="C26" s="161" t="s">
        <v>352</v>
      </c>
      <c r="D26" s="163" t="s">
        <v>353</v>
      </c>
      <c r="E26" s="164" t="s">
        <v>203</v>
      </c>
      <c r="F26" s="317">
        <v>1.0228882945055842</v>
      </c>
    </row>
    <row r="27" spans="2:6" s="161" customFormat="1">
      <c r="B27" s="162">
        <f t="shared" ca="1" si="0"/>
        <v>21</v>
      </c>
      <c r="C27" s="161" t="s">
        <v>279</v>
      </c>
      <c r="D27" s="163" t="s">
        <v>280</v>
      </c>
      <c r="E27" s="164" t="s">
        <v>194</v>
      </c>
      <c r="F27" s="317">
        <v>0.49198330297240517</v>
      </c>
    </row>
    <row r="28" spans="2:6" s="161" customFormat="1">
      <c r="B28" s="162">
        <f t="shared" ca="1" si="0"/>
        <v>22</v>
      </c>
      <c r="C28" s="161" t="s">
        <v>283</v>
      </c>
      <c r="D28" s="163" t="s">
        <v>284</v>
      </c>
      <c r="E28" s="164" t="s">
        <v>203</v>
      </c>
      <c r="F28" s="317">
        <v>0.98170363550581841</v>
      </c>
    </row>
    <row r="29" spans="2:6" s="161" customFormat="1">
      <c r="B29" s="162">
        <f t="shared" ca="1" si="0"/>
        <v>23</v>
      </c>
      <c r="C29" s="161" t="s">
        <v>395</v>
      </c>
      <c r="D29" s="163" t="s">
        <v>396</v>
      </c>
      <c r="E29" s="164" t="s">
        <v>203</v>
      </c>
      <c r="F29" s="317">
        <v>0.86226708765064253</v>
      </c>
    </row>
    <row r="30" spans="2:6" s="161" customFormat="1">
      <c r="B30" s="162">
        <f t="shared" ca="1" si="0"/>
        <v>24</v>
      </c>
      <c r="C30" s="161" t="s">
        <v>271</v>
      </c>
      <c r="D30" s="163" t="s">
        <v>272</v>
      </c>
      <c r="E30" s="164" t="s">
        <v>194</v>
      </c>
      <c r="F30" s="317">
        <v>0.37816533764451238</v>
      </c>
    </row>
    <row r="31" spans="2:6" s="161" customFormat="1">
      <c r="B31" s="162">
        <f t="shared" ca="1" si="0"/>
        <v>25</v>
      </c>
      <c r="C31" s="161" t="s">
        <v>308</v>
      </c>
      <c r="D31" s="163" t="s">
        <v>461</v>
      </c>
      <c r="E31" s="164" t="s">
        <v>204</v>
      </c>
      <c r="F31" s="317">
        <v>0.77859929325041477</v>
      </c>
    </row>
    <row r="32" spans="2:6" s="161" customFormat="1">
      <c r="B32" s="162">
        <f t="shared" ca="1" si="0"/>
        <v>26</v>
      </c>
      <c r="C32" s="161" t="s">
        <v>240</v>
      </c>
      <c r="D32" s="163" t="s">
        <v>241</v>
      </c>
      <c r="E32" s="164" t="s">
        <v>204</v>
      </c>
      <c r="F32" s="317">
        <v>0.52647678411681531</v>
      </c>
    </row>
    <row r="33" spans="2:6" s="161" customFormat="1">
      <c r="B33" s="162">
        <f t="shared" ca="1" si="0"/>
        <v>27</v>
      </c>
      <c r="C33" s="161" t="s">
        <v>273</v>
      </c>
      <c r="D33" s="163" t="s">
        <v>274</v>
      </c>
      <c r="E33" s="164" t="s">
        <v>204</v>
      </c>
      <c r="F33" s="317">
        <v>0.57990014964310777</v>
      </c>
    </row>
    <row r="34" spans="2:6" s="161" customFormat="1">
      <c r="B34" s="162">
        <f t="shared" ca="1" si="0"/>
        <v>28</v>
      </c>
      <c r="C34" s="161" t="s">
        <v>394</v>
      </c>
      <c r="D34" s="163" t="s">
        <v>236</v>
      </c>
      <c r="E34" s="164" t="s">
        <v>203</v>
      </c>
      <c r="F34" s="317">
        <v>0.96294364195643178</v>
      </c>
    </row>
    <row r="35" spans="2:6" s="161" customFormat="1">
      <c r="B35" s="162">
        <f t="shared" ca="1" si="0"/>
        <v>29</v>
      </c>
      <c r="C35" s="161" t="s">
        <v>297</v>
      </c>
      <c r="D35" s="163" t="s">
        <v>298</v>
      </c>
      <c r="E35" s="164" t="s">
        <v>203</v>
      </c>
      <c r="F35" s="317">
        <v>0.99627347749551853</v>
      </c>
    </row>
    <row r="36" spans="2:6" s="161" customFormat="1">
      <c r="B36" s="162">
        <f t="shared" ca="1" si="0"/>
        <v>30</v>
      </c>
      <c r="C36" s="161" t="s">
        <v>277</v>
      </c>
      <c r="D36" s="163" t="s">
        <v>278</v>
      </c>
      <c r="E36" s="164" t="s">
        <v>203</v>
      </c>
      <c r="F36" s="317">
        <v>0.84238124952105697</v>
      </c>
    </row>
    <row r="37" spans="2:6" s="161" customFormat="1">
      <c r="B37" s="162">
        <f t="shared" ca="1" si="0"/>
        <v>31</v>
      </c>
      <c r="C37" s="161" t="s">
        <v>299</v>
      </c>
      <c r="D37" s="163" t="s">
        <v>300</v>
      </c>
      <c r="E37" s="164" t="s">
        <v>203</v>
      </c>
      <c r="F37" s="317">
        <v>0.80852170306243221</v>
      </c>
    </row>
    <row r="38" spans="2:6" s="161" customFormat="1">
      <c r="B38" s="162">
        <f t="shared" ca="1" si="0"/>
        <v>32</v>
      </c>
      <c r="C38" s="161" t="s">
        <v>382</v>
      </c>
      <c r="D38" s="163" t="s">
        <v>383</v>
      </c>
      <c r="E38" s="164" t="s">
        <v>203</v>
      </c>
      <c r="F38" s="317">
        <v>0.87741631305987744</v>
      </c>
    </row>
    <row r="39" spans="2:6" s="161" customFormat="1">
      <c r="B39" s="162">
        <f t="shared" ca="1" si="0"/>
        <v>33</v>
      </c>
      <c r="C39" s="161" t="s">
        <v>301</v>
      </c>
      <c r="D39" s="163" t="s">
        <v>302</v>
      </c>
      <c r="E39" s="164" t="s">
        <v>203</v>
      </c>
      <c r="F39" s="317">
        <v>1</v>
      </c>
    </row>
    <row r="40" spans="2:6" s="161" customFormat="1">
      <c r="B40" s="162">
        <f t="shared" ca="1" si="0"/>
        <v>34</v>
      </c>
      <c r="C40" s="161" t="s">
        <v>281</v>
      </c>
      <c r="D40" s="163" t="s">
        <v>282</v>
      </c>
      <c r="E40" s="164" t="s">
        <v>203</v>
      </c>
      <c r="F40" s="317">
        <v>1</v>
      </c>
    </row>
    <row r="41" spans="2:6" s="161" customFormat="1">
      <c r="B41" s="162">
        <f t="shared" ca="1" si="0"/>
        <v>35</v>
      </c>
      <c r="C41" s="161" t="s">
        <v>303</v>
      </c>
      <c r="D41" s="163" t="s">
        <v>304</v>
      </c>
      <c r="E41" s="164" t="s">
        <v>203</v>
      </c>
      <c r="F41" s="317">
        <v>0.97997112837509848</v>
      </c>
    </row>
    <row r="42" spans="2:6" s="161" customFormat="1">
      <c r="B42" s="162">
        <f t="shared" ca="1" si="0"/>
        <v>36</v>
      </c>
      <c r="C42" s="161" t="s">
        <v>285</v>
      </c>
      <c r="D42" s="163" t="s">
        <v>286</v>
      </c>
      <c r="E42" s="164" t="s">
        <v>203</v>
      </c>
      <c r="F42" s="317">
        <v>1</v>
      </c>
    </row>
    <row r="43" spans="2:6" s="161" customFormat="1">
      <c r="B43" s="162">
        <f t="shared" ca="1" si="0"/>
        <v>37</v>
      </c>
      <c r="C43" s="161" t="s">
        <v>243</v>
      </c>
      <c r="D43" s="163" t="s">
        <v>244</v>
      </c>
      <c r="E43" s="164" t="s">
        <v>204</v>
      </c>
      <c r="F43" s="317">
        <v>0.74506486245544123</v>
      </c>
    </row>
    <row r="44" spans="2:6" s="161" customFormat="1">
      <c r="B44" s="162">
        <f t="shared" ca="1" si="0"/>
        <v>38</v>
      </c>
      <c r="C44" s="161" t="s">
        <v>289</v>
      </c>
      <c r="D44" s="163" t="s">
        <v>290</v>
      </c>
      <c r="E44" s="164" t="s">
        <v>204</v>
      </c>
      <c r="F44" s="317">
        <v>0.60635877252321502</v>
      </c>
    </row>
    <row r="45" spans="2:6" s="161" customFormat="1">
      <c r="B45" s="162">
        <f t="shared" ca="1" si="0"/>
        <v>39</v>
      </c>
      <c r="C45" s="161" t="s">
        <v>347</v>
      </c>
      <c r="D45" s="163" t="s">
        <v>348</v>
      </c>
      <c r="E45" s="164" t="s">
        <v>204</v>
      </c>
      <c r="F45" s="317">
        <v>0.78000527565286204</v>
      </c>
    </row>
    <row r="46" spans="2:6" s="161" customFormat="1">
      <c r="B46" s="162">
        <f t="shared" ca="1" si="0"/>
        <v>40</v>
      </c>
      <c r="C46" s="161" t="s">
        <v>291</v>
      </c>
      <c r="D46" s="163" t="s">
        <v>292</v>
      </c>
      <c r="E46" s="164" t="s">
        <v>204</v>
      </c>
      <c r="F46" s="317">
        <v>0.75327569541402639</v>
      </c>
    </row>
    <row r="47" spans="2:6" s="161" customFormat="1">
      <c r="B47" s="162">
        <f t="shared" ca="1" si="0"/>
        <v>41</v>
      </c>
      <c r="C47" s="161" t="s">
        <v>293</v>
      </c>
      <c r="D47" s="163" t="s">
        <v>294</v>
      </c>
      <c r="E47" s="164" t="s">
        <v>203</v>
      </c>
      <c r="F47" s="317">
        <v>0.92100207603879403</v>
      </c>
    </row>
    <row r="48" spans="2:6" s="161" customFormat="1">
      <c r="B48" s="162">
        <f t="shared" ca="1" si="0"/>
        <v>42</v>
      </c>
      <c r="C48" s="161" t="s">
        <v>369</v>
      </c>
      <c r="D48" s="163" t="s">
        <v>375</v>
      </c>
      <c r="E48" s="164" t="s">
        <v>203</v>
      </c>
      <c r="F48" s="317">
        <v>0.95973415682062291</v>
      </c>
    </row>
    <row r="49" spans="2:6" s="161" customFormat="1">
      <c r="B49" s="162">
        <f t="shared" ca="1" si="0"/>
        <v>43</v>
      </c>
      <c r="C49" s="161" t="s">
        <v>389</v>
      </c>
      <c r="D49" s="163" t="s">
        <v>390</v>
      </c>
      <c r="E49" s="164" t="s">
        <v>203</v>
      </c>
      <c r="F49" s="317">
        <v>0.96437419083942755</v>
      </c>
    </row>
    <row r="50" spans="2:6" s="161" customFormat="1">
      <c r="B50" s="162">
        <f t="shared" ca="1" si="0"/>
        <v>44</v>
      </c>
      <c r="C50" s="161" t="s">
        <v>295</v>
      </c>
      <c r="D50" s="163" t="s">
        <v>296</v>
      </c>
      <c r="E50" s="164" t="s">
        <v>203</v>
      </c>
      <c r="F50" s="317">
        <v>0.98316315446447966</v>
      </c>
    </row>
    <row r="51" spans="2:6" s="161" customFormat="1">
      <c r="B51" s="162">
        <f t="shared" ca="1" si="0"/>
        <v>45</v>
      </c>
      <c r="C51" s="161" t="s">
        <v>402</v>
      </c>
      <c r="D51" s="163" t="s">
        <v>459</v>
      </c>
      <c r="E51" s="164" t="s">
        <v>203</v>
      </c>
      <c r="F51" s="317">
        <v>0.99953194476948282</v>
      </c>
    </row>
    <row r="52" spans="2:6" s="161" customFormat="1">
      <c r="B52" s="162">
        <f t="shared" ca="1" si="0"/>
        <v>46</v>
      </c>
      <c r="C52" s="161" t="s">
        <v>345</v>
      </c>
      <c r="D52" s="163" t="s">
        <v>346</v>
      </c>
      <c r="E52" s="164" t="s">
        <v>204</v>
      </c>
      <c r="F52" s="317">
        <v>0.77742719397953985</v>
      </c>
    </row>
    <row r="53" spans="2:6" s="161" customFormat="1">
      <c r="B53" s="162">
        <f t="shared" ca="1" si="0"/>
        <v>47</v>
      </c>
      <c r="C53" s="161" t="s">
        <v>354</v>
      </c>
      <c r="D53" s="163" t="s">
        <v>355</v>
      </c>
      <c r="E53" s="164" t="s">
        <v>203</v>
      </c>
      <c r="F53" s="317">
        <v>1</v>
      </c>
    </row>
    <row r="54" spans="2:6" s="161" customFormat="1">
      <c r="B54" s="162">
        <f t="shared" ca="1" si="0"/>
        <v>48</v>
      </c>
      <c r="C54" s="161" t="s">
        <v>247</v>
      </c>
      <c r="D54" s="163" t="s">
        <v>248</v>
      </c>
      <c r="E54" s="164" t="s">
        <v>203</v>
      </c>
      <c r="F54" s="317">
        <v>0.97907836472707066</v>
      </c>
    </row>
    <row r="55" spans="2:6" s="161" customFormat="1">
      <c r="B55" s="162">
        <f t="shared" ca="1" si="0"/>
        <v>49</v>
      </c>
      <c r="C55" s="161" t="s">
        <v>251</v>
      </c>
      <c r="D55" s="163" t="s">
        <v>252</v>
      </c>
      <c r="E55" s="164" t="s">
        <v>203</v>
      </c>
      <c r="F55" s="317">
        <v>0.99302150358307584</v>
      </c>
    </row>
    <row r="56" spans="2:6" s="161" customFormat="1">
      <c r="B56" s="162"/>
      <c r="D56" s="163"/>
      <c r="E56" s="164"/>
      <c r="F56" s="317"/>
    </row>
    <row r="57" spans="2:6" s="161" customFormat="1">
      <c r="B57" s="162">
        <f t="shared" ca="1" si="0"/>
        <v>1</v>
      </c>
      <c r="C57" s="161" t="s">
        <v>387</v>
      </c>
      <c r="D57" s="163" t="s">
        <v>388</v>
      </c>
      <c r="E57" s="164" t="s">
        <v>203</v>
      </c>
      <c r="F57" s="317">
        <v>1</v>
      </c>
    </row>
    <row r="58" spans="2:6" s="161" customFormat="1">
      <c r="B58" s="162">
        <f t="shared" ca="1" si="0"/>
        <v>2</v>
      </c>
      <c r="C58" s="161" t="s">
        <v>259</v>
      </c>
      <c r="D58" s="163" t="s">
        <v>260</v>
      </c>
      <c r="E58" s="164" t="s">
        <v>203</v>
      </c>
      <c r="F58" s="317">
        <v>1</v>
      </c>
    </row>
    <row r="59" spans="2:6" s="161" customFormat="1">
      <c r="B59" s="162">
        <f t="shared" ca="1" si="0"/>
        <v>3</v>
      </c>
      <c r="C59" s="161" t="s">
        <v>371</v>
      </c>
      <c r="D59" s="163" t="s">
        <v>359</v>
      </c>
      <c r="E59" s="164" t="s">
        <v>194</v>
      </c>
      <c r="F59" s="317">
        <v>0.14258999999999999</v>
      </c>
    </row>
    <row r="60" spans="2:6" s="161" customFormat="1">
      <c r="B60" s="162">
        <f t="shared" ca="1" si="0"/>
        <v>4</v>
      </c>
      <c r="C60" s="161" t="s">
        <v>287</v>
      </c>
      <c r="D60" s="163" t="s">
        <v>288</v>
      </c>
      <c r="E60" s="164" t="s">
        <v>203</v>
      </c>
      <c r="F60" s="317">
        <v>1</v>
      </c>
    </row>
    <row r="61" spans="2:6" s="161" customFormat="1">
      <c r="B61" s="162">
        <f t="shared" ca="1" si="0"/>
        <v>5</v>
      </c>
      <c r="C61" s="161" t="s">
        <v>408</v>
      </c>
      <c r="D61" s="163" t="s">
        <v>216</v>
      </c>
      <c r="E61" s="164" t="s">
        <v>204</v>
      </c>
      <c r="F61" s="317">
        <v>0.77944722987807114</v>
      </c>
    </row>
    <row r="62" spans="2:6" s="161" customFormat="1">
      <c r="B62" s="162">
        <f t="shared" ca="1" si="0"/>
        <v>6</v>
      </c>
      <c r="C62" s="161" t="s">
        <v>305</v>
      </c>
      <c r="D62" s="163" t="s">
        <v>306</v>
      </c>
      <c r="E62" s="164" t="s">
        <v>203</v>
      </c>
      <c r="F62" s="317">
        <v>0.94986000000000004</v>
      </c>
    </row>
    <row r="63" spans="2:6" s="161" customFormat="1">
      <c r="B63" s="162"/>
      <c r="D63" s="163"/>
      <c r="E63" s="164"/>
    </row>
    <row r="64" spans="2:6" s="161" customFormat="1">
      <c r="B64" s="162">
        <f t="shared" ref="B64" ca="1" si="1">OFFSET( B64, -1, 0 ) + 1</f>
        <v>1</v>
      </c>
      <c r="C64" s="161" t="s">
        <v>418</v>
      </c>
      <c r="D64" s="163" t="s">
        <v>453</v>
      </c>
      <c r="E64" s="164"/>
    </row>
    <row r="65" spans="2:6" s="161" customFormat="1">
      <c r="B65" s="162">
        <f ca="1">OFFSET( B65, -1, 0 ) + 1</f>
        <v>2</v>
      </c>
      <c r="C65" s="161" t="s">
        <v>411</v>
      </c>
      <c r="D65" s="163" t="s">
        <v>412</v>
      </c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5" ht="18">
      <c r="A1" s="153" t="s">
        <v>592</v>
      </c>
      <c r="C1" s="154"/>
    </row>
    <row r="3" spans="1:5">
      <c r="E3" s="165">
        <v>41274</v>
      </c>
    </row>
    <row r="5" spans="1:5" s="156" customFormat="1" ht="27.6">
      <c r="C5" s="157" t="s">
        <v>212</v>
      </c>
      <c r="D5" s="158" t="s">
        <v>593</v>
      </c>
      <c r="E5" s="159" t="s">
        <v>594</v>
      </c>
    </row>
    <row r="6" spans="1:5">
      <c r="E6" s="160"/>
    </row>
    <row r="7" spans="1:5" s="161" customFormat="1">
      <c r="B7" s="162">
        <f t="shared" ref="B7:B63" ca="1" si="0">OFFSET( B7, -1, 0 ) + 1</f>
        <v>1</v>
      </c>
      <c r="C7" s="161" t="s">
        <v>217</v>
      </c>
      <c r="D7" s="163" t="s">
        <v>218</v>
      </c>
      <c r="E7" s="164" t="s">
        <v>203</v>
      </c>
    </row>
    <row r="8" spans="1:5" s="161" customFormat="1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</row>
    <row r="9" spans="1:5" s="161" customFormat="1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</row>
    <row r="10" spans="1:5" s="161" customFormat="1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</row>
    <row r="11" spans="1:5" s="161" customFormat="1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</row>
    <row r="12" spans="1:5" s="161" customFormat="1">
      <c r="B12" s="162">
        <f t="shared" ca="1" si="0"/>
        <v>6</v>
      </c>
      <c r="C12" s="161" t="s">
        <v>245</v>
      </c>
      <c r="D12" s="163" t="s">
        <v>246</v>
      </c>
      <c r="E12" s="164" t="s">
        <v>203</v>
      </c>
    </row>
    <row r="13" spans="1:5" s="161" customFormat="1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</row>
    <row r="14" spans="1:5" s="161" customFormat="1">
      <c r="B14" s="162">
        <f t="shared" ca="1" si="0"/>
        <v>8</v>
      </c>
      <c r="C14" s="161" t="s">
        <v>254</v>
      </c>
      <c r="D14" s="163" t="s">
        <v>378</v>
      </c>
      <c r="E14" s="164" t="s">
        <v>203</v>
      </c>
    </row>
    <row r="15" spans="1:5" s="161" customFormat="1">
      <c r="B15" s="162">
        <f t="shared" ca="1" si="0"/>
        <v>9</v>
      </c>
      <c r="C15" s="161" t="s">
        <v>256</v>
      </c>
      <c r="D15" s="163" t="s">
        <v>257</v>
      </c>
      <c r="E15" s="164" t="s">
        <v>203</v>
      </c>
    </row>
    <row r="16" spans="1:5" s="161" customFormat="1">
      <c r="B16" s="162">
        <f t="shared" ca="1" si="0"/>
        <v>10</v>
      </c>
      <c r="C16" s="161" t="s">
        <v>227</v>
      </c>
      <c r="D16" s="163" t="s">
        <v>228</v>
      </c>
      <c r="E16" s="164" t="s">
        <v>203</v>
      </c>
    </row>
    <row r="17" spans="2:5" s="161" customFormat="1">
      <c r="B17" s="162">
        <f t="shared" ca="1" si="0"/>
        <v>11</v>
      </c>
      <c r="C17" s="161" t="s">
        <v>361</v>
      </c>
      <c r="D17" s="163" t="s">
        <v>194</v>
      </c>
      <c r="E17" s="164" t="s">
        <v>204</v>
      </c>
    </row>
    <row r="18" spans="2:5" s="161" customFormat="1">
      <c r="B18" s="162">
        <f t="shared" ca="1" si="0"/>
        <v>12</v>
      </c>
      <c r="C18" s="161" t="s">
        <v>261</v>
      </c>
      <c r="D18" s="163" t="s">
        <v>262</v>
      </c>
      <c r="E18" s="164" t="s">
        <v>203</v>
      </c>
    </row>
    <row r="19" spans="2:5" s="161" customFormat="1">
      <c r="B19" s="162">
        <f t="shared" ca="1" si="0"/>
        <v>13</v>
      </c>
      <c r="C19" s="161" t="s">
        <v>263</v>
      </c>
      <c r="D19" s="163" t="s">
        <v>264</v>
      </c>
      <c r="E19" s="164" t="s">
        <v>203</v>
      </c>
    </row>
    <row r="20" spans="2:5" s="161" customFormat="1">
      <c r="B20" s="162">
        <f t="shared" ca="1" si="0"/>
        <v>14</v>
      </c>
      <c r="C20" s="161" t="s">
        <v>265</v>
      </c>
      <c r="D20" s="163" t="s">
        <v>266</v>
      </c>
      <c r="E20" s="164" t="s">
        <v>203</v>
      </c>
    </row>
    <row r="21" spans="2:5" s="161" customFormat="1">
      <c r="B21" s="162">
        <f t="shared" ca="1" si="0"/>
        <v>15</v>
      </c>
      <c r="C21" s="161" t="s">
        <v>328</v>
      </c>
      <c r="D21" s="163" t="s">
        <v>331</v>
      </c>
      <c r="E21" s="164" t="s">
        <v>203</v>
      </c>
    </row>
    <row r="22" spans="2:5" s="161" customFormat="1">
      <c r="B22" s="162">
        <f t="shared" ca="1" si="0"/>
        <v>16</v>
      </c>
      <c r="C22" s="161" t="s">
        <v>367</v>
      </c>
      <c r="D22" s="163" t="s">
        <v>368</v>
      </c>
      <c r="E22" s="164" t="s">
        <v>203</v>
      </c>
    </row>
    <row r="23" spans="2:5" s="161" customFormat="1">
      <c r="B23" s="162">
        <f t="shared" ca="1" si="0"/>
        <v>17</v>
      </c>
      <c r="C23" s="161" t="s">
        <v>267</v>
      </c>
      <c r="D23" s="163" t="s">
        <v>268</v>
      </c>
      <c r="E23" s="164" t="s">
        <v>203</v>
      </c>
    </row>
    <row r="24" spans="2:5" s="161" customFormat="1">
      <c r="B24" s="162">
        <f t="shared" ca="1" si="0"/>
        <v>18</v>
      </c>
      <c r="C24" s="161" t="s">
        <v>269</v>
      </c>
      <c r="D24" s="163" t="s">
        <v>270</v>
      </c>
      <c r="E24" s="164" t="s">
        <v>204</v>
      </c>
    </row>
    <row r="25" spans="2:5" s="161" customFormat="1">
      <c r="B25" s="162">
        <f t="shared" ca="1" si="0"/>
        <v>19</v>
      </c>
      <c r="C25" s="161" t="s">
        <v>275</v>
      </c>
      <c r="D25" s="163" t="s">
        <v>276</v>
      </c>
      <c r="E25" s="164" t="s">
        <v>204</v>
      </c>
    </row>
    <row r="26" spans="2:5" s="161" customFormat="1">
      <c r="B26" s="162">
        <f t="shared" ca="1" si="0"/>
        <v>20</v>
      </c>
      <c r="C26" s="161" t="s">
        <v>352</v>
      </c>
      <c r="D26" s="163" t="s">
        <v>353</v>
      </c>
      <c r="E26" s="164" t="s">
        <v>203</v>
      </c>
    </row>
    <row r="27" spans="2:5" s="161" customFormat="1">
      <c r="B27" s="162">
        <f t="shared" ca="1" si="0"/>
        <v>21</v>
      </c>
      <c r="C27" s="161" t="s">
        <v>279</v>
      </c>
      <c r="D27" s="163" t="s">
        <v>280</v>
      </c>
      <c r="E27" s="164" t="s">
        <v>204</v>
      </c>
    </row>
    <row r="28" spans="2:5" s="161" customFormat="1">
      <c r="B28" s="162">
        <f t="shared" ca="1" si="0"/>
        <v>22</v>
      </c>
      <c r="C28" s="161" t="s">
        <v>283</v>
      </c>
      <c r="D28" s="163" t="s">
        <v>284</v>
      </c>
      <c r="E28" s="164" t="s">
        <v>203</v>
      </c>
    </row>
    <row r="29" spans="2:5" s="161" customFormat="1">
      <c r="B29" s="162">
        <f t="shared" ca="1" si="0"/>
        <v>23</v>
      </c>
      <c r="C29" s="161" t="s">
        <v>395</v>
      </c>
      <c r="D29" s="163" t="s">
        <v>396</v>
      </c>
      <c r="E29" s="164" t="s">
        <v>203</v>
      </c>
    </row>
    <row r="30" spans="2:5" s="161" customFormat="1">
      <c r="B30" s="162">
        <f t="shared" ca="1" si="0"/>
        <v>24</v>
      </c>
      <c r="C30" s="161" t="s">
        <v>271</v>
      </c>
      <c r="D30" s="163" t="s">
        <v>272</v>
      </c>
      <c r="E30" s="164" t="s">
        <v>194</v>
      </c>
    </row>
    <row r="31" spans="2:5" s="161" customFormat="1">
      <c r="B31" s="162">
        <f t="shared" ca="1" si="0"/>
        <v>25</v>
      </c>
      <c r="C31" s="161" t="s">
        <v>308</v>
      </c>
      <c r="D31" s="163" t="s">
        <v>461</v>
      </c>
      <c r="E31" s="164" t="s">
        <v>204</v>
      </c>
    </row>
    <row r="32" spans="2:5" s="161" customFormat="1">
      <c r="B32" s="162">
        <f t="shared" ca="1" si="0"/>
        <v>26</v>
      </c>
      <c r="C32" s="161" t="s">
        <v>240</v>
      </c>
      <c r="D32" s="163" t="s">
        <v>241</v>
      </c>
      <c r="E32" s="164" t="s">
        <v>204</v>
      </c>
    </row>
    <row r="33" spans="2:5" s="161" customFormat="1">
      <c r="B33" s="162">
        <f t="shared" ca="1" si="0"/>
        <v>27</v>
      </c>
      <c r="C33" s="161" t="s">
        <v>273</v>
      </c>
      <c r="D33" s="163" t="s">
        <v>274</v>
      </c>
      <c r="E33" s="164" t="s">
        <v>204</v>
      </c>
    </row>
    <row r="34" spans="2:5" s="161" customFormat="1">
      <c r="B34" s="162">
        <f t="shared" ca="1" si="0"/>
        <v>28</v>
      </c>
      <c r="C34" s="161" t="s">
        <v>394</v>
      </c>
      <c r="D34" s="163" t="s">
        <v>236</v>
      </c>
      <c r="E34" s="164" t="s">
        <v>203</v>
      </c>
    </row>
    <row r="35" spans="2:5" s="161" customFormat="1">
      <c r="B35" s="162">
        <f t="shared" ca="1" si="0"/>
        <v>29</v>
      </c>
      <c r="C35" s="161" t="s">
        <v>297</v>
      </c>
      <c r="D35" s="163" t="s">
        <v>298</v>
      </c>
      <c r="E35" s="164" t="s">
        <v>203</v>
      </c>
    </row>
    <row r="36" spans="2:5" s="161" customFormat="1">
      <c r="B36" s="162">
        <f t="shared" ca="1" si="0"/>
        <v>30</v>
      </c>
      <c r="C36" s="161" t="s">
        <v>411</v>
      </c>
      <c r="D36" s="163" t="s">
        <v>412</v>
      </c>
      <c r="E36" s="164" t="s">
        <v>203</v>
      </c>
    </row>
    <row r="37" spans="2:5" s="161" customFormat="1">
      <c r="B37" s="162">
        <f t="shared" ca="1" si="0"/>
        <v>31</v>
      </c>
      <c r="C37" s="161" t="s">
        <v>277</v>
      </c>
      <c r="D37" s="163" t="s">
        <v>278</v>
      </c>
      <c r="E37" s="164" t="s">
        <v>204</v>
      </c>
    </row>
    <row r="38" spans="2:5" s="161" customFormat="1">
      <c r="B38" s="162">
        <f t="shared" ca="1" si="0"/>
        <v>32</v>
      </c>
      <c r="C38" s="161" t="s">
        <v>299</v>
      </c>
      <c r="D38" s="163" t="s">
        <v>300</v>
      </c>
      <c r="E38" s="164" t="s">
        <v>204</v>
      </c>
    </row>
    <row r="39" spans="2:5" s="161" customFormat="1">
      <c r="B39" s="162">
        <f t="shared" ca="1" si="0"/>
        <v>33</v>
      </c>
      <c r="C39" s="161" t="s">
        <v>382</v>
      </c>
      <c r="D39" s="163" t="s">
        <v>383</v>
      </c>
      <c r="E39" s="164" t="s">
        <v>204</v>
      </c>
    </row>
    <row r="40" spans="2:5" s="161" customFormat="1">
      <c r="B40" s="162">
        <f t="shared" ca="1" si="0"/>
        <v>34</v>
      </c>
      <c r="C40" s="161" t="s">
        <v>301</v>
      </c>
      <c r="D40" s="163" t="s">
        <v>302</v>
      </c>
      <c r="E40" s="164" t="s">
        <v>203</v>
      </c>
    </row>
    <row r="41" spans="2:5" s="161" customFormat="1">
      <c r="B41" s="162">
        <f t="shared" ca="1" si="0"/>
        <v>35</v>
      </c>
      <c r="C41" s="161" t="s">
        <v>281</v>
      </c>
      <c r="D41" s="163" t="s">
        <v>282</v>
      </c>
      <c r="E41" s="164" t="s">
        <v>203</v>
      </c>
    </row>
    <row r="42" spans="2:5" s="161" customFormat="1">
      <c r="B42" s="162">
        <f t="shared" ca="1" si="0"/>
        <v>36</v>
      </c>
      <c r="C42" s="161" t="s">
        <v>303</v>
      </c>
      <c r="D42" s="163" t="s">
        <v>304</v>
      </c>
      <c r="E42" s="164" t="s">
        <v>203</v>
      </c>
    </row>
    <row r="43" spans="2:5" s="161" customFormat="1">
      <c r="B43" s="162">
        <f t="shared" ca="1" si="0"/>
        <v>37</v>
      </c>
      <c r="C43" s="161" t="s">
        <v>285</v>
      </c>
      <c r="D43" s="163" t="s">
        <v>286</v>
      </c>
      <c r="E43" s="164" t="s">
        <v>203</v>
      </c>
    </row>
    <row r="44" spans="2:5" s="161" customFormat="1">
      <c r="B44" s="162">
        <f t="shared" ca="1" si="0"/>
        <v>38</v>
      </c>
      <c r="C44" s="161" t="s">
        <v>243</v>
      </c>
      <c r="D44" s="163" t="s">
        <v>244</v>
      </c>
      <c r="E44" s="164" t="s">
        <v>204</v>
      </c>
    </row>
    <row r="45" spans="2:5" s="161" customFormat="1">
      <c r="B45" s="162">
        <f t="shared" ca="1" si="0"/>
        <v>39</v>
      </c>
      <c r="C45" s="161" t="s">
        <v>289</v>
      </c>
      <c r="D45" s="163" t="s">
        <v>290</v>
      </c>
      <c r="E45" s="164" t="s">
        <v>204</v>
      </c>
    </row>
    <row r="46" spans="2:5" s="161" customFormat="1">
      <c r="B46" s="162">
        <f t="shared" ca="1" si="0"/>
        <v>40</v>
      </c>
      <c r="C46" s="161" t="s">
        <v>347</v>
      </c>
      <c r="D46" s="163" t="s">
        <v>348</v>
      </c>
      <c r="E46" s="164" t="s">
        <v>204</v>
      </c>
    </row>
    <row r="47" spans="2:5" s="161" customFormat="1">
      <c r="B47" s="162">
        <f t="shared" ca="1" si="0"/>
        <v>41</v>
      </c>
      <c r="C47" s="161" t="s">
        <v>291</v>
      </c>
      <c r="D47" s="163" t="s">
        <v>292</v>
      </c>
      <c r="E47" s="164" t="s">
        <v>204</v>
      </c>
    </row>
    <row r="48" spans="2:5" s="161" customFormat="1">
      <c r="B48" s="162">
        <f t="shared" ca="1" si="0"/>
        <v>42</v>
      </c>
      <c r="C48" s="161" t="s">
        <v>293</v>
      </c>
      <c r="D48" s="163" t="s">
        <v>294</v>
      </c>
      <c r="E48" s="164" t="s">
        <v>203</v>
      </c>
    </row>
    <row r="49" spans="2:5" s="161" customFormat="1">
      <c r="B49" s="162">
        <f t="shared" ca="1" si="0"/>
        <v>43</v>
      </c>
      <c r="C49" s="161" t="s">
        <v>369</v>
      </c>
      <c r="D49" s="163" t="s">
        <v>375</v>
      </c>
      <c r="E49" s="164" t="s">
        <v>203</v>
      </c>
    </row>
    <row r="50" spans="2:5" s="161" customFormat="1">
      <c r="B50" s="162">
        <f t="shared" ca="1" si="0"/>
        <v>44</v>
      </c>
      <c r="C50" s="161" t="s">
        <v>389</v>
      </c>
      <c r="D50" s="163" t="s">
        <v>390</v>
      </c>
      <c r="E50" s="164" t="s">
        <v>203</v>
      </c>
    </row>
    <row r="51" spans="2:5" s="161" customFormat="1">
      <c r="B51" s="162">
        <f t="shared" ca="1" si="0"/>
        <v>45</v>
      </c>
      <c r="C51" s="161" t="s">
        <v>295</v>
      </c>
      <c r="D51" s="163" t="s">
        <v>296</v>
      </c>
      <c r="E51" s="164" t="s">
        <v>203</v>
      </c>
    </row>
    <row r="52" spans="2:5" s="161" customFormat="1">
      <c r="B52" s="162">
        <f t="shared" ca="1" si="0"/>
        <v>46</v>
      </c>
      <c r="C52" s="161" t="s">
        <v>402</v>
      </c>
      <c r="D52" s="163" t="s">
        <v>459</v>
      </c>
      <c r="E52" s="164" t="s">
        <v>203</v>
      </c>
    </row>
    <row r="53" spans="2:5" s="161" customFormat="1">
      <c r="B53" s="162">
        <f t="shared" ca="1" si="0"/>
        <v>47</v>
      </c>
      <c r="C53" s="161" t="s">
        <v>345</v>
      </c>
      <c r="D53" s="163" t="s">
        <v>346</v>
      </c>
      <c r="E53" s="164" t="s">
        <v>204</v>
      </c>
    </row>
    <row r="54" spans="2:5" s="161" customFormat="1">
      <c r="B54" s="162">
        <f t="shared" ca="1" si="0"/>
        <v>48</v>
      </c>
      <c r="C54" s="161" t="s">
        <v>354</v>
      </c>
      <c r="D54" s="163" t="s">
        <v>355</v>
      </c>
      <c r="E54" s="164" t="s">
        <v>203</v>
      </c>
    </row>
    <row r="55" spans="2:5" s="161" customFormat="1">
      <c r="B55" s="162">
        <f t="shared" ca="1" si="0"/>
        <v>49</v>
      </c>
      <c r="C55" s="161" t="s">
        <v>247</v>
      </c>
      <c r="D55" s="163" t="s">
        <v>248</v>
      </c>
      <c r="E55" s="164" t="s">
        <v>203</v>
      </c>
    </row>
    <row r="56" spans="2:5" s="161" customFormat="1">
      <c r="B56" s="162">
        <f t="shared" ca="1" si="0"/>
        <v>50</v>
      </c>
      <c r="C56" s="161" t="s">
        <v>251</v>
      </c>
      <c r="D56" s="163" t="s">
        <v>252</v>
      </c>
      <c r="E56" s="164" t="s">
        <v>203</v>
      </c>
    </row>
    <row r="57" spans="2:5" s="161" customFormat="1">
      <c r="B57" s="162"/>
      <c r="D57" s="163"/>
      <c r="E57" s="164"/>
    </row>
    <row r="58" spans="2:5" s="161" customFormat="1">
      <c r="B58" s="162">
        <f t="shared" ca="1" si="0"/>
        <v>1</v>
      </c>
      <c r="C58" s="161" t="s">
        <v>387</v>
      </c>
      <c r="D58" s="163" t="s">
        <v>388</v>
      </c>
      <c r="E58" s="164" t="s">
        <v>203</v>
      </c>
    </row>
    <row r="59" spans="2:5" s="161" customFormat="1">
      <c r="B59" s="162">
        <f t="shared" ca="1" si="0"/>
        <v>2</v>
      </c>
      <c r="C59" s="161" t="s">
        <v>259</v>
      </c>
      <c r="D59" s="163" t="s">
        <v>260</v>
      </c>
      <c r="E59" s="164" t="s">
        <v>203</v>
      </c>
    </row>
    <row r="60" spans="2:5" s="161" customFormat="1">
      <c r="B60" s="162">
        <f t="shared" ca="1" si="0"/>
        <v>3</v>
      </c>
      <c r="C60" s="161" t="s">
        <v>371</v>
      </c>
      <c r="D60" s="163" t="s">
        <v>359</v>
      </c>
      <c r="E60" s="164" t="s">
        <v>194</v>
      </c>
    </row>
    <row r="61" spans="2:5" s="161" customFormat="1">
      <c r="B61" s="162">
        <f t="shared" ca="1" si="0"/>
        <v>4</v>
      </c>
      <c r="C61" s="161" t="s">
        <v>287</v>
      </c>
      <c r="D61" s="163" t="s">
        <v>288</v>
      </c>
      <c r="E61" s="164" t="s">
        <v>203</v>
      </c>
    </row>
    <row r="62" spans="2:5" s="161" customFormat="1">
      <c r="B62" s="162">
        <f t="shared" ca="1" si="0"/>
        <v>5</v>
      </c>
      <c r="C62" s="161" t="s">
        <v>408</v>
      </c>
      <c r="D62" s="163" t="s">
        <v>216</v>
      </c>
      <c r="E62" s="164" t="s">
        <v>204</v>
      </c>
    </row>
    <row r="63" spans="2:5" s="161" customFormat="1">
      <c r="B63" s="162">
        <f t="shared" ca="1" si="0"/>
        <v>6</v>
      </c>
      <c r="C63" s="161" t="s">
        <v>305</v>
      </c>
      <c r="D63" s="163" t="s">
        <v>306</v>
      </c>
      <c r="E63" s="164" t="s">
        <v>203</v>
      </c>
    </row>
    <row r="64" spans="2:5" s="161" customFormat="1">
      <c r="B64" s="162"/>
      <c r="D64" s="163"/>
      <c r="E64" s="164"/>
    </row>
    <row r="65" spans="2:5" s="161" customFormat="1">
      <c r="B65" s="162">
        <f t="shared" ref="B65" ca="1" si="1">OFFSET( B65, -1, 0 ) + 1</f>
        <v>1</v>
      </c>
      <c r="C65" s="161" t="s">
        <v>418</v>
      </c>
      <c r="D65" s="163" t="s">
        <v>453</v>
      </c>
      <c r="E65" s="164" t="s">
        <v>203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5" ht="18">
      <c r="A1" s="153" t="s">
        <v>592</v>
      </c>
      <c r="C1" s="154"/>
    </row>
    <row r="3" spans="1:5">
      <c r="E3" s="165">
        <v>40908</v>
      </c>
    </row>
    <row r="5" spans="1:5" s="156" customFormat="1" ht="27.6">
      <c r="C5" s="157" t="s">
        <v>212</v>
      </c>
      <c r="D5" s="158" t="s">
        <v>593</v>
      </c>
      <c r="E5" s="159" t="s">
        <v>594</v>
      </c>
    </row>
    <row r="6" spans="1:5">
      <c r="E6" s="160"/>
    </row>
    <row r="7" spans="1:5" s="161" customFormat="1">
      <c r="B7" s="162">
        <f t="shared" ref="B7:B68" ca="1" si="0">OFFSET( B7, -1, 0 ) + 1</f>
        <v>1</v>
      </c>
      <c r="C7" s="161" t="s">
        <v>217</v>
      </c>
      <c r="D7" s="163" t="s">
        <v>218</v>
      </c>
      <c r="E7" s="164" t="s">
        <v>203</v>
      </c>
    </row>
    <row r="8" spans="1:5" s="161" customFormat="1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</row>
    <row r="9" spans="1:5" s="161" customFormat="1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</row>
    <row r="10" spans="1:5" s="161" customFormat="1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</row>
    <row r="11" spans="1:5" s="161" customFormat="1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</row>
    <row r="12" spans="1:5" s="161" customFormat="1">
      <c r="B12" s="162">
        <f t="shared" ca="1" si="0"/>
        <v>6</v>
      </c>
      <c r="C12" s="161" t="s">
        <v>245</v>
      </c>
      <c r="D12" s="163" t="s">
        <v>246</v>
      </c>
      <c r="E12" s="164" t="s">
        <v>204</v>
      </c>
    </row>
    <row r="13" spans="1:5" s="161" customFormat="1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</row>
    <row r="14" spans="1:5" s="161" customFormat="1">
      <c r="B14" s="162">
        <f t="shared" ca="1" si="0"/>
        <v>8</v>
      </c>
      <c r="C14" s="161" t="s">
        <v>424</v>
      </c>
      <c r="D14" s="163" t="s">
        <v>425</v>
      </c>
      <c r="E14" s="164" t="s">
        <v>203</v>
      </c>
    </row>
    <row r="15" spans="1:5" s="161" customFormat="1">
      <c r="B15" s="162">
        <f t="shared" ca="1" si="0"/>
        <v>9</v>
      </c>
      <c r="C15" s="161" t="s">
        <v>418</v>
      </c>
      <c r="D15" s="163" t="s">
        <v>453</v>
      </c>
      <c r="E15" s="164" t="s">
        <v>203</v>
      </c>
    </row>
    <row r="16" spans="1:5" s="161" customFormat="1">
      <c r="B16" s="162">
        <f t="shared" ca="1" si="0"/>
        <v>10</v>
      </c>
      <c r="C16" s="161" t="s">
        <v>254</v>
      </c>
      <c r="D16" s="163" t="s">
        <v>378</v>
      </c>
      <c r="E16" s="164" t="s">
        <v>203</v>
      </c>
    </row>
    <row r="17" spans="2:5" s="161" customFormat="1">
      <c r="B17" s="162">
        <f t="shared" ca="1" si="0"/>
        <v>11</v>
      </c>
      <c r="C17" s="161" t="s">
        <v>256</v>
      </c>
      <c r="D17" s="163" t="s">
        <v>257</v>
      </c>
      <c r="E17" s="164" t="s">
        <v>203</v>
      </c>
    </row>
    <row r="18" spans="2:5" s="161" customFormat="1">
      <c r="B18" s="162">
        <f t="shared" ca="1" si="0"/>
        <v>12</v>
      </c>
      <c r="C18" s="161" t="s">
        <v>227</v>
      </c>
      <c r="D18" s="163" t="s">
        <v>228</v>
      </c>
      <c r="E18" s="164" t="s">
        <v>203</v>
      </c>
    </row>
    <row r="19" spans="2:5" s="161" customFormat="1">
      <c r="B19" s="162">
        <f t="shared" ca="1" si="0"/>
        <v>13</v>
      </c>
      <c r="C19" s="161" t="s">
        <v>463</v>
      </c>
      <c r="D19" s="163" t="s">
        <v>452</v>
      </c>
      <c r="E19" s="164" t="s">
        <v>194</v>
      </c>
    </row>
    <row r="20" spans="2:5" s="161" customFormat="1">
      <c r="B20" s="162">
        <f t="shared" ca="1" si="0"/>
        <v>14</v>
      </c>
      <c r="C20" s="161" t="s">
        <v>361</v>
      </c>
      <c r="D20" s="163" t="s">
        <v>194</v>
      </c>
      <c r="E20" s="164" t="s">
        <v>204</v>
      </c>
    </row>
    <row r="21" spans="2:5" s="161" customFormat="1">
      <c r="B21" s="162">
        <f t="shared" ca="1" si="0"/>
        <v>15</v>
      </c>
      <c r="C21" s="161" t="s">
        <v>261</v>
      </c>
      <c r="D21" s="163" t="s">
        <v>262</v>
      </c>
      <c r="E21" s="164" t="s">
        <v>203</v>
      </c>
    </row>
    <row r="22" spans="2:5" s="161" customFormat="1">
      <c r="B22" s="162">
        <f t="shared" ca="1" si="0"/>
        <v>16</v>
      </c>
      <c r="C22" s="161" t="s">
        <v>263</v>
      </c>
      <c r="D22" s="163" t="s">
        <v>264</v>
      </c>
      <c r="E22" s="164" t="s">
        <v>204</v>
      </c>
    </row>
    <row r="23" spans="2:5" s="161" customFormat="1">
      <c r="B23" s="162">
        <f t="shared" ca="1" si="0"/>
        <v>17</v>
      </c>
      <c r="C23" s="161" t="s">
        <v>265</v>
      </c>
      <c r="D23" s="163" t="s">
        <v>266</v>
      </c>
      <c r="E23" s="164" t="s">
        <v>203</v>
      </c>
    </row>
    <row r="24" spans="2:5" s="161" customFormat="1">
      <c r="B24" s="162">
        <f t="shared" ca="1" si="0"/>
        <v>18</v>
      </c>
      <c r="C24" s="161" t="s">
        <v>328</v>
      </c>
      <c r="D24" s="163" t="s">
        <v>331</v>
      </c>
      <c r="E24" s="164" t="s">
        <v>203</v>
      </c>
    </row>
    <row r="25" spans="2:5" s="161" customFormat="1">
      <c r="B25" s="162">
        <f t="shared" ca="1" si="0"/>
        <v>19</v>
      </c>
      <c r="C25" s="161" t="s">
        <v>367</v>
      </c>
      <c r="D25" s="163" t="s">
        <v>368</v>
      </c>
      <c r="E25" s="164" t="s">
        <v>203</v>
      </c>
    </row>
    <row r="26" spans="2:5" s="161" customFormat="1">
      <c r="B26" s="162">
        <f t="shared" ca="1" si="0"/>
        <v>20</v>
      </c>
      <c r="C26" s="161" t="s">
        <v>267</v>
      </c>
      <c r="D26" s="163" t="s">
        <v>268</v>
      </c>
      <c r="E26" s="164" t="s">
        <v>203</v>
      </c>
    </row>
    <row r="27" spans="2:5" s="161" customFormat="1">
      <c r="B27" s="162">
        <f t="shared" ca="1" si="0"/>
        <v>21</v>
      </c>
      <c r="C27" s="161" t="s">
        <v>269</v>
      </c>
      <c r="D27" s="163" t="s">
        <v>270</v>
      </c>
      <c r="E27" s="164" t="s">
        <v>204</v>
      </c>
    </row>
    <row r="28" spans="2:5" s="161" customFormat="1">
      <c r="B28" s="162">
        <f t="shared" ca="1" si="0"/>
        <v>22</v>
      </c>
      <c r="C28" s="161" t="s">
        <v>275</v>
      </c>
      <c r="D28" s="163" t="s">
        <v>276</v>
      </c>
      <c r="E28" s="164" t="s">
        <v>204</v>
      </c>
    </row>
    <row r="29" spans="2:5" s="161" customFormat="1">
      <c r="B29" s="162">
        <f t="shared" ca="1" si="0"/>
        <v>23</v>
      </c>
      <c r="C29" s="161" t="s">
        <v>352</v>
      </c>
      <c r="D29" s="163" t="s">
        <v>353</v>
      </c>
      <c r="E29" s="164" t="s">
        <v>203</v>
      </c>
    </row>
    <row r="30" spans="2:5" s="161" customFormat="1">
      <c r="B30" s="162">
        <f t="shared" ca="1" si="0"/>
        <v>24</v>
      </c>
      <c r="C30" s="161" t="s">
        <v>279</v>
      </c>
      <c r="D30" s="163" t="s">
        <v>280</v>
      </c>
      <c r="E30" s="164" t="s">
        <v>194</v>
      </c>
    </row>
    <row r="31" spans="2:5" s="161" customFormat="1">
      <c r="B31" s="162">
        <f t="shared" ca="1" si="0"/>
        <v>25</v>
      </c>
      <c r="C31" s="161" t="s">
        <v>283</v>
      </c>
      <c r="D31" s="163" t="s">
        <v>284</v>
      </c>
      <c r="E31" s="164" t="s">
        <v>203</v>
      </c>
    </row>
    <row r="32" spans="2:5" s="161" customFormat="1">
      <c r="B32" s="162">
        <f t="shared" ca="1" si="0"/>
        <v>26</v>
      </c>
      <c r="C32" s="161" t="s">
        <v>395</v>
      </c>
      <c r="D32" s="163" t="s">
        <v>396</v>
      </c>
      <c r="E32" s="164" t="s">
        <v>203</v>
      </c>
    </row>
    <row r="33" spans="2:5" s="161" customFormat="1">
      <c r="B33" s="162">
        <f t="shared" ca="1" si="0"/>
        <v>27</v>
      </c>
      <c r="C33" s="161" t="s">
        <v>271</v>
      </c>
      <c r="D33" s="163" t="s">
        <v>272</v>
      </c>
      <c r="E33" s="164" t="s">
        <v>194</v>
      </c>
    </row>
    <row r="34" spans="2:5" s="161" customFormat="1">
      <c r="B34" s="162">
        <f t="shared" ca="1" si="0"/>
        <v>28</v>
      </c>
      <c r="C34" s="161" t="s">
        <v>308</v>
      </c>
      <c r="D34" s="163" t="s">
        <v>461</v>
      </c>
      <c r="E34" s="164" t="s">
        <v>204</v>
      </c>
    </row>
    <row r="35" spans="2:5" s="161" customFormat="1">
      <c r="B35" s="162">
        <f t="shared" ca="1" si="0"/>
        <v>29</v>
      </c>
      <c r="C35" s="161" t="s">
        <v>240</v>
      </c>
      <c r="D35" s="163" t="s">
        <v>241</v>
      </c>
      <c r="E35" s="164" t="s">
        <v>204</v>
      </c>
    </row>
    <row r="36" spans="2:5" s="161" customFormat="1">
      <c r="B36" s="162">
        <f t="shared" ca="1" si="0"/>
        <v>30</v>
      </c>
      <c r="C36" s="161" t="s">
        <v>273</v>
      </c>
      <c r="D36" s="163" t="s">
        <v>274</v>
      </c>
      <c r="E36" s="164" t="s">
        <v>204</v>
      </c>
    </row>
    <row r="37" spans="2:5" s="161" customFormat="1">
      <c r="B37" s="162">
        <f t="shared" ca="1" si="0"/>
        <v>31</v>
      </c>
      <c r="C37" s="161" t="s">
        <v>394</v>
      </c>
      <c r="D37" s="163" t="s">
        <v>236</v>
      </c>
      <c r="E37" s="164" t="s">
        <v>203</v>
      </c>
    </row>
    <row r="38" spans="2:5" s="161" customFormat="1">
      <c r="B38" s="162">
        <f t="shared" ca="1" si="0"/>
        <v>32</v>
      </c>
      <c r="C38" s="161" t="s">
        <v>297</v>
      </c>
      <c r="D38" s="163" t="s">
        <v>298</v>
      </c>
      <c r="E38" s="164" t="s">
        <v>203</v>
      </c>
    </row>
    <row r="39" spans="2:5" s="161" customFormat="1">
      <c r="B39" s="162">
        <f t="shared" ca="1" si="0"/>
        <v>33</v>
      </c>
      <c r="C39" s="161" t="s">
        <v>431</v>
      </c>
      <c r="D39" s="163" t="s">
        <v>432</v>
      </c>
      <c r="E39" s="164" t="s">
        <v>203</v>
      </c>
    </row>
    <row r="40" spans="2:5" s="161" customFormat="1">
      <c r="B40" s="162">
        <f t="shared" ca="1" si="0"/>
        <v>34</v>
      </c>
      <c r="C40" s="161" t="s">
        <v>411</v>
      </c>
      <c r="D40" s="163" t="s">
        <v>412</v>
      </c>
      <c r="E40" s="164" t="s">
        <v>203</v>
      </c>
    </row>
    <row r="41" spans="2:5" s="161" customFormat="1">
      <c r="B41" s="162">
        <f t="shared" ca="1" si="0"/>
        <v>35</v>
      </c>
      <c r="C41" s="161" t="s">
        <v>277</v>
      </c>
      <c r="D41" s="163" t="s">
        <v>278</v>
      </c>
      <c r="E41" s="164" t="s">
        <v>204</v>
      </c>
    </row>
    <row r="42" spans="2:5" s="161" customFormat="1">
      <c r="B42" s="162">
        <f t="shared" ca="1" si="0"/>
        <v>36</v>
      </c>
      <c r="C42" s="161" t="s">
        <v>299</v>
      </c>
      <c r="D42" s="163" t="s">
        <v>300</v>
      </c>
      <c r="E42" s="164" t="s">
        <v>204</v>
      </c>
    </row>
    <row r="43" spans="2:5" s="161" customFormat="1">
      <c r="B43" s="162">
        <f t="shared" ca="1" si="0"/>
        <v>37</v>
      </c>
      <c r="C43" s="161" t="s">
        <v>382</v>
      </c>
      <c r="D43" s="163" t="s">
        <v>383</v>
      </c>
      <c r="E43" s="164" t="s">
        <v>204</v>
      </c>
    </row>
    <row r="44" spans="2:5" s="161" customFormat="1">
      <c r="B44" s="162">
        <f t="shared" ca="1" si="0"/>
        <v>38</v>
      </c>
      <c r="C44" s="161" t="s">
        <v>301</v>
      </c>
      <c r="D44" s="163" t="s">
        <v>302</v>
      </c>
      <c r="E44" s="164" t="s">
        <v>203</v>
      </c>
    </row>
    <row r="45" spans="2:5" s="161" customFormat="1">
      <c r="B45" s="162">
        <f t="shared" ca="1" si="0"/>
        <v>39</v>
      </c>
      <c r="C45" s="161" t="s">
        <v>281</v>
      </c>
      <c r="D45" s="163" t="s">
        <v>282</v>
      </c>
      <c r="E45" s="164" t="s">
        <v>203</v>
      </c>
    </row>
    <row r="46" spans="2:5" s="161" customFormat="1">
      <c r="B46" s="162">
        <f t="shared" ca="1" si="0"/>
        <v>40</v>
      </c>
      <c r="C46" s="161" t="s">
        <v>303</v>
      </c>
      <c r="D46" s="163" t="s">
        <v>304</v>
      </c>
      <c r="E46" s="164" t="s">
        <v>203</v>
      </c>
    </row>
    <row r="47" spans="2:5" s="161" customFormat="1">
      <c r="B47" s="162">
        <f t="shared" ca="1" si="0"/>
        <v>41</v>
      </c>
      <c r="C47" s="161" t="s">
        <v>285</v>
      </c>
      <c r="D47" s="163" t="s">
        <v>286</v>
      </c>
      <c r="E47" s="164" t="s">
        <v>203</v>
      </c>
    </row>
    <row r="48" spans="2:5" s="161" customFormat="1">
      <c r="B48" s="162">
        <f t="shared" ca="1" si="0"/>
        <v>42</v>
      </c>
      <c r="C48" s="161" t="s">
        <v>243</v>
      </c>
      <c r="D48" s="163" t="s">
        <v>244</v>
      </c>
      <c r="E48" s="164" t="s">
        <v>204</v>
      </c>
    </row>
    <row r="49" spans="2:5" s="161" customFormat="1">
      <c r="B49" s="162">
        <f t="shared" ca="1" si="0"/>
        <v>43</v>
      </c>
      <c r="C49" s="161" t="s">
        <v>427</v>
      </c>
      <c r="D49" s="163" t="s">
        <v>428</v>
      </c>
      <c r="E49" s="164" t="s">
        <v>203</v>
      </c>
    </row>
    <row r="50" spans="2:5" s="161" customFormat="1">
      <c r="B50" s="162">
        <f t="shared" ca="1" si="0"/>
        <v>44</v>
      </c>
      <c r="C50" s="161" t="s">
        <v>289</v>
      </c>
      <c r="D50" s="163" t="s">
        <v>290</v>
      </c>
      <c r="E50" s="164" t="s">
        <v>204</v>
      </c>
    </row>
    <row r="51" spans="2:5" s="161" customFormat="1">
      <c r="B51" s="162">
        <f t="shared" ca="1" si="0"/>
        <v>45</v>
      </c>
      <c r="C51" s="161" t="s">
        <v>347</v>
      </c>
      <c r="D51" s="163" t="s">
        <v>348</v>
      </c>
      <c r="E51" s="164" t="s">
        <v>204</v>
      </c>
    </row>
    <row r="52" spans="2:5" s="161" customFormat="1">
      <c r="B52" s="162">
        <f t="shared" ca="1" si="0"/>
        <v>46</v>
      </c>
      <c r="C52" s="161" t="s">
        <v>291</v>
      </c>
      <c r="D52" s="163" t="s">
        <v>292</v>
      </c>
      <c r="E52" s="164" t="s">
        <v>204</v>
      </c>
    </row>
    <row r="53" spans="2:5" s="161" customFormat="1">
      <c r="B53" s="162">
        <f t="shared" ca="1" si="0"/>
        <v>47</v>
      </c>
      <c r="C53" s="161" t="s">
        <v>293</v>
      </c>
      <c r="D53" s="163" t="s">
        <v>294</v>
      </c>
      <c r="E53" s="164" t="s">
        <v>203</v>
      </c>
    </row>
    <row r="54" spans="2:5" s="161" customFormat="1">
      <c r="B54" s="162">
        <f t="shared" ca="1" si="0"/>
        <v>48</v>
      </c>
      <c r="C54" s="161" t="s">
        <v>369</v>
      </c>
      <c r="D54" s="163" t="s">
        <v>375</v>
      </c>
      <c r="E54" s="164" t="s">
        <v>203</v>
      </c>
    </row>
    <row r="55" spans="2:5" s="161" customFormat="1">
      <c r="B55" s="162">
        <f t="shared" ca="1" si="0"/>
        <v>49</v>
      </c>
      <c r="C55" s="161" t="s">
        <v>389</v>
      </c>
      <c r="D55" s="163" t="s">
        <v>390</v>
      </c>
      <c r="E55" s="164" t="s">
        <v>203</v>
      </c>
    </row>
    <row r="56" spans="2:5" s="161" customFormat="1">
      <c r="B56" s="162">
        <f t="shared" ca="1" si="0"/>
        <v>50</v>
      </c>
      <c r="C56" s="161" t="s">
        <v>295</v>
      </c>
      <c r="D56" s="163" t="s">
        <v>296</v>
      </c>
      <c r="E56" s="164" t="s">
        <v>203</v>
      </c>
    </row>
    <row r="57" spans="2:5" s="161" customFormat="1">
      <c r="B57" s="162">
        <f t="shared" ca="1" si="0"/>
        <v>51</v>
      </c>
      <c r="C57" s="161" t="s">
        <v>402</v>
      </c>
      <c r="D57" s="163" t="s">
        <v>459</v>
      </c>
      <c r="E57" s="164" t="s">
        <v>203</v>
      </c>
    </row>
    <row r="58" spans="2:5" s="161" customFormat="1">
      <c r="B58" s="162">
        <f t="shared" ca="1" si="0"/>
        <v>52</v>
      </c>
      <c r="C58" s="161" t="s">
        <v>345</v>
      </c>
      <c r="D58" s="163" t="s">
        <v>346</v>
      </c>
      <c r="E58" s="164" t="s">
        <v>203</v>
      </c>
    </row>
    <row r="59" spans="2:5" s="161" customFormat="1">
      <c r="B59" s="162">
        <f t="shared" ca="1" si="0"/>
        <v>53</v>
      </c>
      <c r="C59" s="161" t="s">
        <v>354</v>
      </c>
      <c r="D59" s="163" t="s">
        <v>355</v>
      </c>
      <c r="E59" s="164" t="s">
        <v>203</v>
      </c>
    </row>
    <row r="60" spans="2:5" s="161" customFormat="1">
      <c r="B60" s="162">
        <f t="shared" ca="1" si="0"/>
        <v>54</v>
      </c>
      <c r="C60" s="161" t="s">
        <v>247</v>
      </c>
      <c r="D60" s="163" t="s">
        <v>248</v>
      </c>
      <c r="E60" s="164" t="s">
        <v>203</v>
      </c>
    </row>
    <row r="61" spans="2:5" s="161" customFormat="1">
      <c r="B61" s="162">
        <f t="shared" ca="1" si="0"/>
        <v>55</v>
      </c>
      <c r="C61" s="161" t="s">
        <v>251</v>
      </c>
      <c r="D61" s="163" t="s">
        <v>252</v>
      </c>
      <c r="E61" s="164" t="s">
        <v>203</v>
      </c>
    </row>
    <row r="62" spans="2:5" s="161" customFormat="1">
      <c r="B62" s="162"/>
      <c r="D62" s="163"/>
      <c r="E62" s="164"/>
    </row>
    <row r="63" spans="2:5" s="161" customFormat="1">
      <c r="B63" s="162">
        <f t="shared" ca="1" si="0"/>
        <v>1</v>
      </c>
      <c r="C63" s="161" t="s">
        <v>460</v>
      </c>
      <c r="D63" s="163" t="s">
        <v>388</v>
      </c>
      <c r="E63" s="164" t="s">
        <v>203</v>
      </c>
    </row>
    <row r="64" spans="2:5" s="161" customFormat="1">
      <c r="B64" s="162">
        <f t="shared" ca="1" si="0"/>
        <v>2</v>
      </c>
      <c r="C64" s="161" t="s">
        <v>259</v>
      </c>
      <c r="D64" s="163" t="s">
        <v>260</v>
      </c>
      <c r="E64" s="164" t="s">
        <v>203</v>
      </c>
    </row>
    <row r="65" spans="2:5" s="161" customFormat="1">
      <c r="B65" s="162">
        <f t="shared" ca="1" si="0"/>
        <v>3</v>
      </c>
      <c r="C65" s="161" t="s">
        <v>371</v>
      </c>
      <c r="D65" s="163" t="s">
        <v>359</v>
      </c>
      <c r="E65" s="164" t="s">
        <v>194</v>
      </c>
    </row>
    <row r="66" spans="2:5" s="161" customFormat="1">
      <c r="B66" s="162">
        <f t="shared" ca="1" si="0"/>
        <v>4</v>
      </c>
      <c r="C66" s="161" t="s">
        <v>287</v>
      </c>
      <c r="D66" s="163" t="s">
        <v>288</v>
      </c>
      <c r="E66" s="164" t="s">
        <v>203</v>
      </c>
    </row>
    <row r="67" spans="2:5" s="161" customFormat="1">
      <c r="B67" s="162">
        <f t="shared" ca="1" si="0"/>
        <v>5</v>
      </c>
      <c r="C67" s="161" t="s">
        <v>408</v>
      </c>
      <c r="D67" s="163" t="s">
        <v>216</v>
      </c>
      <c r="E67" s="164" t="s">
        <v>204</v>
      </c>
    </row>
    <row r="68" spans="2:5" s="161" customFormat="1">
      <c r="B68" s="162">
        <f t="shared" ca="1" si="0"/>
        <v>6</v>
      </c>
      <c r="C68" s="161" t="s">
        <v>305</v>
      </c>
      <c r="D68" s="163" t="s">
        <v>306</v>
      </c>
      <c r="E68" s="164" t="s">
        <v>203</v>
      </c>
    </row>
    <row r="69" spans="2:5" s="161" customFormat="1">
      <c r="B69" s="162"/>
      <c r="D69" s="163"/>
      <c r="E69" s="164"/>
    </row>
    <row r="70" spans="2:5" s="161" customFormat="1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pane="bottomRight" activeCell="E6" sqref="E6"/>
      <selection pane="bottomLeft" activeCell="E4" sqref="E4"/>
      <selection pane="topRight" activeCell="E4" sqref="E4"/>
    </sheetView>
  </sheetViews>
  <sheetFormatPr defaultColWidth="9.140625" defaultRowHeight="13.9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5" ht="18">
      <c r="A1" s="153" t="s">
        <v>592</v>
      </c>
      <c r="C1" s="154"/>
    </row>
    <row r="3" spans="1:5">
      <c r="E3" s="165">
        <v>40543</v>
      </c>
    </row>
    <row r="5" spans="1:5" s="156" customFormat="1" ht="27.6">
      <c r="C5" s="157" t="s">
        <v>212</v>
      </c>
      <c r="D5" s="158" t="s">
        <v>593</v>
      </c>
      <c r="E5" s="159" t="s">
        <v>594</v>
      </c>
    </row>
    <row r="6" spans="1:5">
      <c r="E6" s="160"/>
    </row>
    <row r="7" spans="1:5" s="161" customFormat="1">
      <c r="B7" s="162">
        <f t="shared" ref="B7:B68" ca="1" si="0">OFFSET( B7, -1, 0 ) + 1</f>
        <v>1</v>
      </c>
      <c r="C7" s="161" t="s">
        <v>217</v>
      </c>
      <c r="D7" s="163" t="s">
        <v>218</v>
      </c>
      <c r="E7" s="164" t="s">
        <v>203</v>
      </c>
    </row>
    <row r="8" spans="1:5" s="161" customFormat="1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</row>
    <row r="9" spans="1:5" s="161" customFormat="1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</row>
    <row r="10" spans="1:5" s="161" customFormat="1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</row>
    <row r="11" spans="1:5" s="161" customFormat="1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</row>
    <row r="12" spans="1:5" s="161" customFormat="1">
      <c r="B12" s="162">
        <f t="shared" ca="1" si="0"/>
        <v>6</v>
      </c>
      <c r="C12" s="161" t="s">
        <v>245</v>
      </c>
      <c r="D12" s="163" t="s">
        <v>246</v>
      </c>
      <c r="E12" s="164" t="s">
        <v>204</v>
      </c>
    </row>
    <row r="13" spans="1:5" s="161" customFormat="1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</row>
    <row r="14" spans="1:5" s="161" customFormat="1">
      <c r="B14" s="162">
        <f t="shared" ca="1" si="0"/>
        <v>8</v>
      </c>
      <c r="C14" s="161" t="s">
        <v>424</v>
      </c>
      <c r="D14" s="163" t="s">
        <v>425</v>
      </c>
      <c r="E14" s="164" t="s">
        <v>203</v>
      </c>
    </row>
    <row r="15" spans="1:5" s="161" customFormat="1">
      <c r="B15" s="162">
        <f t="shared" ca="1" si="0"/>
        <v>9</v>
      </c>
      <c r="C15" s="161" t="s">
        <v>418</v>
      </c>
      <c r="D15" s="163" t="s">
        <v>453</v>
      </c>
      <c r="E15" s="164" t="s">
        <v>203</v>
      </c>
    </row>
    <row r="16" spans="1:5" s="161" customFormat="1">
      <c r="B16" s="162">
        <f t="shared" ca="1" si="0"/>
        <v>10</v>
      </c>
      <c r="C16" s="161" t="s">
        <v>254</v>
      </c>
      <c r="D16" s="163" t="s">
        <v>378</v>
      </c>
      <c r="E16" s="164" t="s">
        <v>203</v>
      </c>
    </row>
    <row r="17" spans="2:5" s="161" customFormat="1">
      <c r="B17" s="162">
        <f t="shared" ca="1" si="0"/>
        <v>11</v>
      </c>
      <c r="C17" s="161" t="s">
        <v>256</v>
      </c>
      <c r="D17" s="163" t="s">
        <v>257</v>
      </c>
      <c r="E17" s="164" t="s">
        <v>203</v>
      </c>
    </row>
    <row r="18" spans="2:5" s="161" customFormat="1">
      <c r="B18" s="162">
        <f t="shared" ca="1" si="0"/>
        <v>12</v>
      </c>
      <c r="C18" s="161" t="s">
        <v>227</v>
      </c>
      <c r="D18" s="163" t="s">
        <v>228</v>
      </c>
      <c r="E18" s="164" t="s">
        <v>203</v>
      </c>
    </row>
    <row r="19" spans="2:5" s="161" customFormat="1">
      <c r="B19" s="162">
        <f t="shared" ca="1" si="0"/>
        <v>13</v>
      </c>
      <c r="C19" s="161" t="s">
        <v>463</v>
      </c>
      <c r="D19" s="163" t="s">
        <v>452</v>
      </c>
      <c r="E19" s="164" t="s">
        <v>194</v>
      </c>
    </row>
    <row r="20" spans="2:5" s="161" customFormat="1">
      <c r="B20" s="162">
        <f t="shared" ca="1" si="0"/>
        <v>14</v>
      </c>
      <c r="C20" s="161" t="s">
        <v>361</v>
      </c>
      <c r="D20" s="163" t="s">
        <v>194</v>
      </c>
      <c r="E20" s="164" t="s">
        <v>204</v>
      </c>
    </row>
    <row r="21" spans="2:5" s="161" customFormat="1">
      <c r="B21" s="162">
        <f t="shared" ca="1" si="0"/>
        <v>15</v>
      </c>
      <c r="C21" s="161" t="s">
        <v>261</v>
      </c>
      <c r="D21" s="163" t="s">
        <v>262</v>
      </c>
      <c r="E21" s="164" t="s">
        <v>203</v>
      </c>
    </row>
    <row r="22" spans="2:5" s="161" customFormat="1">
      <c r="B22" s="162">
        <f t="shared" ca="1" si="0"/>
        <v>16</v>
      </c>
      <c r="C22" s="161" t="s">
        <v>263</v>
      </c>
      <c r="D22" s="163" t="s">
        <v>264</v>
      </c>
      <c r="E22" s="164" t="s">
        <v>204</v>
      </c>
    </row>
    <row r="23" spans="2:5" s="161" customFormat="1">
      <c r="B23" s="162">
        <f t="shared" ca="1" si="0"/>
        <v>17</v>
      </c>
      <c r="C23" s="161" t="s">
        <v>265</v>
      </c>
      <c r="D23" s="163" t="s">
        <v>266</v>
      </c>
      <c r="E23" s="164" t="s">
        <v>204</v>
      </c>
    </row>
    <row r="24" spans="2:5" s="161" customFormat="1">
      <c r="B24" s="162">
        <f t="shared" ca="1" si="0"/>
        <v>18</v>
      </c>
      <c r="C24" s="161" t="s">
        <v>328</v>
      </c>
      <c r="D24" s="163" t="s">
        <v>331</v>
      </c>
      <c r="E24" s="164" t="s">
        <v>203</v>
      </c>
    </row>
    <row r="25" spans="2:5" s="161" customFormat="1">
      <c r="B25" s="162">
        <f t="shared" ca="1" si="0"/>
        <v>19</v>
      </c>
      <c r="C25" s="161" t="s">
        <v>367</v>
      </c>
      <c r="D25" s="163" t="s">
        <v>368</v>
      </c>
      <c r="E25" s="164" t="s">
        <v>203</v>
      </c>
    </row>
    <row r="26" spans="2:5" s="161" customFormat="1">
      <c r="B26" s="162">
        <f t="shared" ca="1" si="0"/>
        <v>20</v>
      </c>
      <c r="C26" s="161" t="s">
        <v>267</v>
      </c>
      <c r="D26" s="163" t="s">
        <v>268</v>
      </c>
      <c r="E26" s="164" t="s">
        <v>203</v>
      </c>
    </row>
    <row r="27" spans="2:5" s="161" customFormat="1">
      <c r="B27" s="162">
        <f t="shared" ca="1" si="0"/>
        <v>21</v>
      </c>
      <c r="C27" s="161" t="s">
        <v>269</v>
      </c>
      <c r="D27" s="163" t="s">
        <v>270</v>
      </c>
      <c r="E27" s="164" t="s">
        <v>204</v>
      </c>
    </row>
    <row r="28" spans="2:5" s="161" customFormat="1">
      <c r="B28" s="162">
        <f t="shared" ca="1" si="0"/>
        <v>22</v>
      </c>
      <c r="C28" s="161" t="s">
        <v>275</v>
      </c>
      <c r="D28" s="163" t="s">
        <v>276</v>
      </c>
      <c r="E28" s="164" t="s">
        <v>204</v>
      </c>
    </row>
    <row r="29" spans="2:5" s="161" customFormat="1">
      <c r="B29" s="162">
        <f t="shared" ca="1" si="0"/>
        <v>23</v>
      </c>
      <c r="C29" s="161" t="s">
        <v>352</v>
      </c>
      <c r="D29" s="163" t="s">
        <v>353</v>
      </c>
      <c r="E29" s="164" t="s">
        <v>203</v>
      </c>
    </row>
    <row r="30" spans="2:5" s="161" customFormat="1">
      <c r="B30" s="162">
        <f t="shared" ca="1" si="0"/>
        <v>24</v>
      </c>
      <c r="C30" s="161" t="s">
        <v>279</v>
      </c>
      <c r="D30" s="163" t="s">
        <v>280</v>
      </c>
      <c r="E30" s="164" t="s">
        <v>194</v>
      </c>
    </row>
    <row r="31" spans="2:5" s="161" customFormat="1">
      <c r="B31" s="162">
        <f t="shared" ca="1" si="0"/>
        <v>25</v>
      </c>
      <c r="C31" s="161" t="s">
        <v>283</v>
      </c>
      <c r="D31" s="163" t="s">
        <v>284</v>
      </c>
      <c r="E31" s="164" t="s">
        <v>203</v>
      </c>
    </row>
    <row r="32" spans="2:5" s="161" customFormat="1">
      <c r="B32" s="162">
        <f t="shared" ca="1" si="0"/>
        <v>26</v>
      </c>
      <c r="C32" s="161" t="s">
        <v>395</v>
      </c>
      <c r="D32" s="163" t="s">
        <v>396</v>
      </c>
      <c r="E32" s="164" t="s">
        <v>203</v>
      </c>
    </row>
    <row r="33" spans="2:5" s="161" customFormat="1">
      <c r="B33" s="162">
        <f t="shared" ca="1" si="0"/>
        <v>27</v>
      </c>
      <c r="C33" s="161" t="s">
        <v>271</v>
      </c>
      <c r="D33" s="163" t="s">
        <v>272</v>
      </c>
      <c r="E33" s="164" t="s">
        <v>194</v>
      </c>
    </row>
    <row r="34" spans="2:5" s="161" customFormat="1">
      <c r="B34" s="162">
        <f t="shared" ca="1" si="0"/>
        <v>28</v>
      </c>
      <c r="C34" s="161" t="s">
        <v>308</v>
      </c>
      <c r="D34" s="163" t="s">
        <v>461</v>
      </c>
      <c r="E34" s="164" t="s">
        <v>204</v>
      </c>
    </row>
    <row r="35" spans="2:5" s="161" customFormat="1">
      <c r="B35" s="162">
        <f t="shared" ca="1" si="0"/>
        <v>29</v>
      </c>
      <c r="C35" s="161" t="s">
        <v>240</v>
      </c>
      <c r="D35" s="163" t="s">
        <v>241</v>
      </c>
      <c r="E35" s="164" t="s">
        <v>204</v>
      </c>
    </row>
    <row r="36" spans="2:5" s="161" customFormat="1">
      <c r="B36" s="162">
        <f t="shared" ca="1" si="0"/>
        <v>30</v>
      </c>
      <c r="C36" s="161" t="s">
        <v>273</v>
      </c>
      <c r="D36" s="163" t="s">
        <v>274</v>
      </c>
      <c r="E36" s="164" t="s">
        <v>204</v>
      </c>
    </row>
    <row r="37" spans="2:5" s="161" customFormat="1">
      <c r="B37" s="162">
        <f t="shared" ca="1" si="0"/>
        <v>31</v>
      </c>
      <c r="C37" s="161" t="s">
        <v>394</v>
      </c>
      <c r="D37" s="163" t="s">
        <v>236</v>
      </c>
      <c r="E37" s="164" t="s">
        <v>203</v>
      </c>
    </row>
    <row r="38" spans="2:5" s="161" customFormat="1">
      <c r="B38" s="162">
        <f t="shared" ca="1" si="0"/>
        <v>32</v>
      </c>
      <c r="C38" s="161" t="s">
        <v>297</v>
      </c>
      <c r="D38" s="163" t="s">
        <v>298</v>
      </c>
      <c r="E38" s="164" t="s">
        <v>203</v>
      </c>
    </row>
    <row r="39" spans="2:5" s="161" customFormat="1">
      <c r="B39" s="162">
        <f t="shared" ca="1" si="0"/>
        <v>33</v>
      </c>
      <c r="C39" s="161" t="s">
        <v>431</v>
      </c>
      <c r="D39" s="163" t="s">
        <v>432</v>
      </c>
      <c r="E39" s="164" t="s">
        <v>203</v>
      </c>
    </row>
    <row r="40" spans="2:5" s="161" customFormat="1">
      <c r="B40" s="162">
        <f t="shared" ca="1" si="0"/>
        <v>34</v>
      </c>
      <c r="C40" s="161" t="s">
        <v>411</v>
      </c>
      <c r="D40" s="163" t="s">
        <v>412</v>
      </c>
      <c r="E40" s="164" t="s">
        <v>203</v>
      </c>
    </row>
    <row r="41" spans="2:5" s="161" customFormat="1">
      <c r="B41" s="162">
        <f t="shared" ca="1" si="0"/>
        <v>35</v>
      </c>
      <c r="C41" s="161" t="s">
        <v>277</v>
      </c>
      <c r="D41" s="163" t="s">
        <v>278</v>
      </c>
      <c r="E41" s="164" t="s">
        <v>204</v>
      </c>
    </row>
    <row r="42" spans="2:5" s="161" customFormat="1">
      <c r="B42" s="162">
        <f t="shared" ca="1" si="0"/>
        <v>36</v>
      </c>
      <c r="C42" s="161" t="s">
        <v>299</v>
      </c>
      <c r="D42" s="163" t="s">
        <v>300</v>
      </c>
      <c r="E42" s="164" t="s">
        <v>204</v>
      </c>
    </row>
    <row r="43" spans="2:5" s="161" customFormat="1">
      <c r="B43" s="162">
        <f t="shared" ca="1" si="0"/>
        <v>37</v>
      </c>
      <c r="C43" s="161" t="s">
        <v>382</v>
      </c>
      <c r="D43" s="163" t="s">
        <v>383</v>
      </c>
      <c r="E43" s="164" t="s">
        <v>204</v>
      </c>
    </row>
    <row r="44" spans="2:5" s="161" customFormat="1">
      <c r="B44" s="162">
        <f t="shared" ca="1" si="0"/>
        <v>38</v>
      </c>
      <c r="C44" s="161" t="s">
        <v>301</v>
      </c>
      <c r="D44" s="163" t="s">
        <v>302</v>
      </c>
      <c r="E44" s="164" t="s">
        <v>203</v>
      </c>
    </row>
    <row r="45" spans="2:5" s="161" customFormat="1">
      <c r="B45" s="162">
        <f t="shared" ca="1" si="0"/>
        <v>39</v>
      </c>
      <c r="C45" s="161" t="s">
        <v>281</v>
      </c>
      <c r="D45" s="163" t="s">
        <v>282</v>
      </c>
      <c r="E45" s="164" t="s">
        <v>203</v>
      </c>
    </row>
    <row r="46" spans="2:5" s="161" customFormat="1">
      <c r="B46" s="162">
        <f t="shared" ca="1" si="0"/>
        <v>40</v>
      </c>
      <c r="C46" s="161" t="s">
        <v>303</v>
      </c>
      <c r="D46" s="163" t="s">
        <v>304</v>
      </c>
      <c r="E46" s="164" t="s">
        <v>203</v>
      </c>
    </row>
    <row r="47" spans="2:5" s="161" customFormat="1">
      <c r="B47" s="162">
        <f t="shared" ca="1" si="0"/>
        <v>41</v>
      </c>
      <c r="C47" s="161" t="s">
        <v>285</v>
      </c>
      <c r="D47" s="163" t="s">
        <v>286</v>
      </c>
      <c r="E47" s="164" t="s">
        <v>203</v>
      </c>
    </row>
    <row r="48" spans="2:5" s="161" customFormat="1">
      <c r="B48" s="162">
        <f t="shared" ca="1" si="0"/>
        <v>42</v>
      </c>
      <c r="C48" s="161" t="s">
        <v>243</v>
      </c>
      <c r="D48" s="163" t="s">
        <v>244</v>
      </c>
      <c r="E48" s="164" t="s">
        <v>204</v>
      </c>
    </row>
    <row r="49" spans="2:5" s="161" customFormat="1">
      <c r="B49" s="162">
        <f t="shared" ca="1" si="0"/>
        <v>43</v>
      </c>
      <c r="C49" s="161" t="s">
        <v>427</v>
      </c>
      <c r="D49" s="163" t="s">
        <v>428</v>
      </c>
      <c r="E49" s="164" t="s">
        <v>203</v>
      </c>
    </row>
    <row r="50" spans="2:5" s="161" customFormat="1">
      <c r="B50" s="162">
        <f t="shared" ca="1" si="0"/>
        <v>44</v>
      </c>
      <c r="C50" s="161" t="s">
        <v>289</v>
      </c>
      <c r="D50" s="163" t="s">
        <v>290</v>
      </c>
      <c r="E50" s="164" t="s">
        <v>204</v>
      </c>
    </row>
    <row r="51" spans="2:5" s="161" customFormat="1">
      <c r="B51" s="162">
        <f t="shared" ca="1" si="0"/>
        <v>45</v>
      </c>
      <c r="C51" s="161" t="s">
        <v>347</v>
      </c>
      <c r="D51" s="163" t="s">
        <v>348</v>
      </c>
      <c r="E51" s="164" t="s">
        <v>204</v>
      </c>
    </row>
    <row r="52" spans="2:5" s="161" customFormat="1">
      <c r="B52" s="162">
        <f t="shared" ca="1" si="0"/>
        <v>46</v>
      </c>
      <c r="C52" s="161" t="s">
        <v>291</v>
      </c>
      <c r="D52" s="163" t="s">
        <v>292</v>
      </c>
      <c r="E52" s="164" t="s">
        <v>204</v>
      </c>
    </row>
    <row r="53" spans="2:5" s="161" customFormat="1">
      <c r="B53" s="162">
        <f t="shared" ca="1" si="0"/>
        <v>47</v>
      </c>
      <c r="C53" s="161" t="s">
        <v>293</v>
      </c>
      <c r="D53" s="163" t="s">
        <v>294</v>
      </c>
      <c r="E53" s="164" t="s">
        <v>203</v>
      </c>
    </row>
    <row r="54" spans="2:5" s="161" customFormat="1">
      <c r="B54" s="162">
        <f t="shared" ca="1" si="0"/>
        <v>48</v>
      </c>
      <c r="C54" s="161" t="s">
        <v>369</v>
      </c>
      <c r="D54" s="163" t="s">
        <v>375</v>
      </c>
      <c r="E54" s="164" t="s">
        <v>203</v>
      </c>
    </row>
    <row r="55" spans="2:5" s="161" customFormat="1">
      <c r="B55" s="162">
        <f t="shared" ca="1" si="0"/>
        <v>49</v>
      </c>
      <c r="C55" s="161" t="s">
        <v>389</v>
      </c>
      <c r="D55" s="163" t="s">
        <v>390</v>
      </c>
      <c r="E55" s="164" t="s">
        <v>203</v>
      </c>
    </row>
    <row r="56" spans="2:5" s="161" customFormat="1">
      <c r="B56" s="162">
        <f t="shared" ca="1" si="0"/>
        <v>50</v>
      </c>
      <c r="C56" s="161" t="s">
        <v>295</v>
      </c>
      <c r="D56" s="163" t="s">
        <v>296</v>
      </c>
      <c r="E56" s="164" t="s">
        <v>203</v>
      </c>
    </row>
    <row r="57" spans="2:5" s="161" customFormat="1">
      <c r="B57" s="162">
        <f t="shared" ca="1" si="0"/>
        <v>51</v>
      </c>
      <c r="C57" s="161" t="s">
        <v>402</v>
      </c>
      <c r="D57" s="163" t="s">
        <v>459</v>
      </c>
      <c r="E57" s="164" t="s">
        <v>203</v>
      </c>
    </row>
    <row r="58" spans="2:5" s="161" customFormat="1">
      <c r="B58" s="162">
        <f t="shared" ca="1" si="0"/>
        <v>52</v>
      </c>
      <c r="C58" s="161" t="s">
        <v>345</v>
      </c>
      <c r="D58" s="163" t="s">
        <v>346</v>
      </c>
      <c r="E58" s="164" t="s">
        <v>203</v>
      </c>
    </row>
    <row r="59" spans="2:5" s="161" customFormat="1">
      <c r="B59" s="162">
        <f t="shared" ca="1" si="0"/>
        <v>53</v>
      </c>
      <c r="C59" s="161" t="s">
        <v>354</v>
      </c>
      <c r="D59" s="163" t="s">
        <v>355</v>
      </c>
      <c r="E59" s="164" t="s">
        <v>203</v>
      </c>
    </row>
    <row r="60" spans="2:5" s="161" customFormat="1">
      <c r="B60" s="162">
        <f t="shared" ca="1" si="0"/>
        <v>54</v>
      </c>
      <c r="C60" s="161" t="s">
        <v>247</v>
      </c>
      <c r="D60" s="163" t="s">
        <v>248</v>
      </c>
      <c r="E60" s="164" t="s">
        <v>203</v>
      </c>
    </row>
    <row r="61" spans="2:5" s="161" customFormat="1">
      <c r="B61" s="162">
        <f t="shared" ca="1" si="0"/>
        <v>55</v>
      </c>
      <c r="C61" s="161" t="s">
        <v>251</v>
      </c>
      <c r="D61" s="163" t="s">
        <v>252</v>
      </c>
      <c r="E61" s="164" t="s">
        <v>203</v>
      </c>
    </row>
    <row r="62" spans="2:5" s="161" customFormat="1">
      <c r="B62" s="162"/>
      <c r="D62" s="163"/>
      <c r="E62" s="164"/>
    </row>
    <row r="63" spans="2:5" s="161" customFormat="1">
      <c r="B63" s="162">
        <f t="shared" ca="1" si="0"/>
        <v>1</v>
      </c>
      <c r="C63" s="161" t="s">
        <v>602</v>
      </c>
      <c r="D63" s="163" t="s">
        <v>260</v>
      </c>
      <c r="E63" s="164" t="s">
        <v>203</v>
      </c>
    </row>
    <row r="64" spans="2:5" s="161" customFormat="1">
      <c r="B64" s="162">
        <f t="shared" ca="1" si="0"/>
        <v>2</v>
      </c>
      <c r="C64" s="161" t="s">
        <v>603</v>
      </c>
      <c r="D64" s="163" t="s">
        <v>359</v>
      </c>
      <c r="E64" s="164" t="s">
        <v>194</v>
      </c>
    </row>
    <row r="65" spans="2:5" s="161" customFormat="1">
      <c r="B65" s="162">
        <f t="shared" ca="1" si="0"/>
        <v>3</v>
      </c>
      <c r="C65" s="161" t="s">
        <v>604</v>
      </c>
      <c r="D65" s="161" t="s">
        <v>388</v>
      </c>
      <c r="E65" s="164" t="s">
        <v>203</v>
      </c>
    </row>
    <row r="66" spans="2:5" s="161" customFormat="1">
      <c r="B66" s="162">
        <f t="shared" ca="1" si="0"/>
        <v>4</v>
      </c>
      <c r="C66" s="161" t="s">
        <v>605</v>
      </c>
      <c r="D66" s="163" t="s">
        <v>288</v>
      </c>
      <c r="E66" s="164" t="s">
        <v>203</v>
      </c>
    </row>
    <row r="67" spans="2:5" s="161" customFormat="1">
      <c r="B67" s="162">
        <f t="shared" ca="1" si="0"/>
        <v>5</v>
      </c>
      <c r="C67" s="161" t="s">
        <v>606</v>
      </c>
      <c r="D67" s="163" t="s">
        <v>216</v>
      </c>
      <c r="E67" s="164" t="s">
        <v>204</v>
      </c>
    </row>
    <row r="68" spans="2:5" s="161" customFormat="1">
      <c r="B68" s="162">
        <f t="shared" ca="1" si="0"/>
        <v>6</v>
      </c>
      <c r="C68" s="161" t="s">
        <v>607</v>
      </c>
      <c r="D68" s="163" t="s">
        <v>306</v>
      </c>
      <c r="E68" s="164" t="s">
        <v>203</v>
      </c>
    </row>
    <row r="69" spans="2:5" s="161" customFormat="1">
      <c r="B69" s="162"/>
      <c r="D69" s="163"/>
      <c r="E69" s="164"/>
    </row>
    <row r="70" spans="2:5" s="161" customFormat="1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</sheetPr>
  <dimension ref="C3:N30"/>
  <sheetViews>
    <sheetView zoomScale="85" zoomScaleNormal="85" workbookViewId="0"/>
  </sheetViews>
  <sheetFormatPr defaultColWidth="9.140625" defaultRowHeight="13.15"/>
  <cols>
    <col min="1" max="2" width="9.140625" style="239"/>
    <col min="3" max="3" width="5.85546875" style="241" customWidth="1"/>
    <col min="4" max="4" width="9.140625" style="241"/>
    <col min="5" max="5" width="25.42578125" style="241" customWidth="1"/>
    <col min="6" max="6" width="9.140625" style="239"/>
    <col min="7" max="8" width="5.85546875" style="241" customWidth="1"/>
    <col min="9" max="9" width="9.140625" style="241"/>
    <col min="10" max="10" width="25.42578125" style="241" customWidth="1"/>
    <col min="11" max="11" width="9.140625" style="239"/>
    <col min="12" max="12" width="5.85546875" style="241" customWidth="1"/>
    <col min="13" max="13" width="9.140625" style="241"/>
    <col min="14" max="14" width="25.42578125" style="239" customWidth="1"/>
    <col min="15" max="16384" width="9.140625" style="239"/>
  </cols>
  <sheetData>
    <row r="3" spans="3:14">
      <c r="C3" s="362" t="s">
        <v>608</v>
      </c>
      <c r="D3" s="363"/>
      <c r="E3" s="363"/>
      <c r="G3" s="362" t="s">
        <v>153</v>
      </c>
      <c r="H3" s="363"/>
      <c r="I3" s="363"/>
      <c r="J3" s="363"/>
      <c r="L3" s="362" t="s">
        <v>108</v>
      </c>
      <c r="M3" s="363"/>
      <c r="N3" s="363"/>
    </row>
    <row r="5" spans="3:14">
      <c r="C5" s="245"/>
      <c r="G5" s="245"/>
      <c r="H5" s="246">
        <v>1</v>
      </c>
      <c r="I5" s="240" t="s">
        <v>203</v>
      </c>
      <c r="J5" s="247" t="s">
        <v>609</v>
      </c>
      <c r="L5" s="246">
        <v>1</v>
      </c>
      <c r="M5" s="240" t="s">
        <v>610</v>
      </c>
      <c r="N5" s="247" t="s">
        <v>611</v>
      </c>
    </row>
    <row r="6" spans="3:14">
      <c r="C6" s="246"/>
      <c r="G6" s="246"/>
      <c r="H6" s="246">
        <v>2</v>
      </c>
      <c r="I6" s="243" t="s">
        <v>421</v>
      </c>
      <c r="L6" s="246">
        <v>2</v>
      </c>
      <c r="M6" s="243" t="s">
        <v>194</v>
      </c>
    </row>
    <row r="7" spans="3:14">
      <c r="C7" s="246"/>
      <c r="G7" s="246"/>
      <c r="H7" s="246">
        <v>3</v>
      </c>
      <c r="I7" s="243" t="s">
        <v>194</v>
      </c>
      <c r="L7" s="246">
        <v>3</v>
      </c>
      <c r="M7" s="243" t="s">
        <v>612</v>
      </c>
    </row>
    <row r="8" spans="3:14">
      <c r="C8" s="246"/>
      <c r="G8" s="246"/>
      <c r="H8" s="246">
        <v>4</v>
      </c>
      <c r="I8" s="244" t="s">
        <v>613</v>
      </c>
      <c r="J8" s="242"/>
      <c r="L8" s="246">
        <v>4</v>
      </c>
      <c r="M8" s="243" t="s">
        <v>614</v>
      </c>
    </row>
    <row r="9" spans="3:14">
      <c r="C9" s="246">
        <v>1</v>
      </c>
      <c r="D9" s="240" t="s">
        <v>192</v>
      </c>
      <c r="E9" s="247" t="s">
        <v>615</v>
      </c>
      <c r="G9" s="246">
        <v>1</v>
      </c>
      <c r="H9" s="246">
        <v>5</v>
      </c>
      <c r="I9" s="243" t="s">
        <v>192</v>
      </c>
      <c r="J9" s="247" t="s">
        <v>616</v>
      </c>
      <c r="L9" s="246">
        <v>5</v>
      </c>
      <c r="M9" s="243" t="s">
        <v>191</v>
      </c>
    </row>
    <row r="10" spans="3:14">
      <c r="C10" s="246">
        <v>2</v>
      </c>
      <c r="D10" s="243" t="s">
        <v>190</v>
      </c>
      <c r="G10" s="246">
        <v>2</v>
      </c>
      <c r="H10" s="246">
        <v>6</v>
      </c>
      <c r="I10" s="243" t="s">
        <v>617</v>
      </c>
      <c r="L10" s="246">
        <v>6</v>
      </c>
      <c r="M10" s="243" t="s">
        <v>189</v>
      </c>
    </row>
    <row r="11" spans="3:14">
      <c r="C11" s="246">
        <v>3</v>
      </c>
      <c r="D11" s="243" t="s">
        <v>188</v>
      </c>
      <c r="G11" s="246">
        <v>3</v>
      </c>
      <c r="H11" s="246">
        <v>7</v>
      </c>
      <c r="I11" s="243" t="s">
        <v>191</v>
      </c>
      <c r="L11" s="246">
        <v>7</v>
      </c>
      <c r="M11" s="243" t="s">
        <v>187</v>
      </c>
    </row>
    <row r="12" spans="3:14">
      <c r="C12" s="246">
        <v>4</v>
      </c>
      <c r="D12" s="243" t="s">
        <v>186</v>
      </c>
      <c r="G12" s="246">
        <v>4</v>
      </c>
      <c r="H12" s="246">
        <v>8</v>
      </c>
      <c r="I12" s="243" t="s">
        <v>189</v>
      </c>
      <c r="L12" s="246">
        <v>8</v>
      </c>
      <c r="M12" s="243" t="s">
        <v>185</v>
      </c>
    </row>
    <row r="13" spans="3:14">
      <c r="C13" s="246">
        <v>5</v>
      </c>
      <c r="D13" s="243" t="s">
        <v>184</v>
      </c>
      <c r="G13" s="246">
        <v>5</v>
      </c>
      <c r="H13" s="246">
        <v>9</v>
      </c>
      <c r="I13" s="243" t="s">
        <v>187</v>
      </c>
      <c r="L13" s="246">
        <v>9</v>
      </c>
      <c r="M13" s="243" t="s">
        <v>183</v>
      </c>
    </row>
    <row r="14" spans="3:14">
      <c r="C14" s="246">
        <v>6</v>
      </c>
      <c r="D14" s="243" t="s">
        <v>182</v>
      </c>
      <c r="G14" s="246">
        <v>6</v>
      </c>
      <c r="H14" s="246">
        <v>10</v>
      </c>
      <c r="I14" s="243" t="s">
        <v>185</v>
      </c>
      <c r="L14" s="246">
        <v>10</v>
      </c>
      <c r="M14" s="243" t="s">
        <v>181</v>
      </c>
    </row>
    <row r="15" spans="3:14">
      <c r="C15" s="246">
        <v>7</v>
      </c>
      <c r="D15" s="243" t="s">
        <v>180</v>
      </c>
      <c r="G15" s="246">
        <v>7</v>
      </c>
      <c r="H15" s="246">
        <v>11</v>
      </c>
      <c r="I15" s="243" t="s">
        <v>183</v>
      </c>
      <c r="L15" s="246">
        <v>11</v>
      </c>
      <c r="M15" s="243" t="s">
        <v>179</v>
      </c>
    </row>
    <row r="16" spans="3:14">
      <c r="C16" s="246">
        <v>8</v>
      </c>
      <c r="D16" s="243" t="s">
        <v>178</v>
      </c>
      <c r="G16" s="246">
        <v>8</v>
      </c>
      <c r="H16" s="246">
        <v>12</v>
      </c>
      <c r="I16" s="243" t="s">
        <v>181</v>
      </c>
      <c r="L16" s="246">
        <v>12</v>
      </c>
      <c r="M16" s="243" t="s">
        <v>177</v>
      </c>
    </row>
    <row r="17" spans="3:13">
      <c r="C17" s="246">
        <v>9</v>
      </c>
      <c r="D17" s="243" t="s">
        <v>176</v>
      </c>
      <c r="G17" s="246">
        <v>9</v>
      </c>
      <c r="H17" s="246">
        <v>13</v>
      </c>
      <c r="I17" s="243" t="s">
        <v>179</v>
      </c>
      <c r="L17" s="246">
        <v>13</v>
      </c>
      <c r="M17" s="243" t="s">
        <v>175</v>
      </c>
    </row>
    <row r="18" spans="3:13">
      <c r="C18" s="246">
        <v>10</v>
      </c>
      <c r="D18" s="243" t="s">
        <v>174</v>
      </c>
      <c r="G18" s="246">
        <v>10</v>
      </c>
      <c r="H18" s="246">
        <v>14</v>
      </c>
      <c r="I18" s="243" t="s">
        <v>177</v>
      </c>
      <c r="L18" s="246">
        <v>14</v>
      </c>
      <c r="M18" s="243" t="s">
        <v>173</v>
      </c>
    </row>
    <row r="19" spans="3:13">
      <c r="C19" s="246">
        <v>11</v>
      </c>
      <c r="D19" s="243" t="s">
        <v>172</v>
      </c>
      <c r="G19" s="246">
        <v>11</v>
      </c>
      <c r="H19" s="246">
        <v>15</v>
      </c>
      <c r="I19" s="243" t="s">
        <v>175</v>
      </c>
      <c r="L19" s="246">
        <v>15</v>
      </c>
      <c r="M19" s="243" t="s">
        <v>142</v>
      </c>
    </row>
    <row r="20" spans="3:13">
      <c r="C20" s="246">
        <v>12</v>
      </c>
      <c r="D20" s="243" t="s">
        <v>170</v>
      </c>
      <c r="G20" s="246">
        <v>12</v>
      </c>
      <c r="H20" s="246">
        <v>16</v>
      </c>
      <c r="I20" s="243" t="s">
        <v>173</v>
      </c>
      <c r="L20" s="246">
        <v>16</v>
      </c>
      <c r="M20" s="243" t="s">
        <v>141</v>
      </c>
    </row>
    <row r="21" spans="3:13">
      <c r="C21" s="246">
        <v>13</v>
      </c>
      <c r="D21" s="243" t="s">
        <v>169</v>
      </c>
      <c r="G21" s="246">
        <v>13</v>
      </c>
      <c r="H21" s="246">
        <v>17</v>
      </c>
      <c r="I21" s="243" t="s">
        <v>142</v>
      </c>
      <c r="L21" s="246">
        <v>17</v>
      </c>
      <c r="M21" s="243" t="s">
        <v>140</v>
      </c>
    </row>
    <row r="22" spans="3:13">
      <c r="C22" s="246">
        <v>14</v>
      </c>
      <c r="D22" s="243" t="s">
        <v>168</v>
      </c>
      <c r="G22" s="246">
        <v>14</v>
      </c>
      <c r="H22" s="246">
        <v>18</v>
      </c>
      <c r="I22" s="243" t="s">
        <v>141</v>
      </c>
      <c r="L22" s="246">
        <v>18</v>
      </c>
      <c r="M22" s="243" t="s">
        <v>139</v>
      </c>
    </row>
    <row r="23" spans="3:13">
      <c r="C23" s="246">
        <v>15</v>
      </c>
      <c r="D23" s="243" t="s">
        <v>167</v>
      </c>
      <c r="G23" s="246">
        <v>15</v>
      </c>
      <c r="H23" s="246">
        <v>19</v>
      </c>
      <c r="I23" s="243" t="s">
        <v>140</v>
      </c>
      <c r="L23" s="246">
        <v>19</v>
      </c>
      <c r="M23" s="243" t="s">
        <v>166</v>
      </c>
    </row>
    <row r="24" spans="3:13">
      <c r="C24" s="246">
        <v>16</v>
      </c>
      <c r="D24" s="243" t="s">
        <v>165</v>
      </c>
      <c r="G24" s="246">
        <v>16</v>
      </c>
      <c r="H24" s="246">
        <v>20</v>
      </c>
      <c r="I24" s="243" t="s">
        <v>139</v>
      </c>
      <c r="L24" s="246">
        <v>20</v>
      </c>
      <c r="M24" s="243" t="s">
        <v>164</v>
      </c>
    </row>
    <row r="25" spans="3:13">
      <c r="C25" s="246">
        <v>17</v>
      </c>
      <c r="D25" s="243" t="s">
        <v>163</v>
      </c>
      <c r="G25" s="246">
        <v>17</v>
      </c>
      <c r="H25" s="246">
        <v>21</v>
      </c>
      <c r="I25" s="243" t="s">
        <v>166</v>
      </c>
      <c r="L25" s="246">
        <v>21</v>
      </c>
      <c r="M25" s="243" t="s">
        <v>162</v>
      </c>
    </row>
    <row r="26" spans="3:13">
      <c r="C26" s="246">
        <v>18</v>
      </c>
      <c r="D26" s="243" t="s">
        <v>161</v>
      </c>
      <c r="G26" s="246">
        <v>18</v>
      </c>
      <c r="H26" s="246">
        <v>22</v>
      </c>
      <c r="I26" s="243" t="s">
        <v>164</v>
      </c>
      <c r="L26" s="246">
        <v>22</v>
      </c>
      <c r="M26" s="243" t="s">
        <v>160</v>
      </c>
    </row>
    <row r="27" spans="3:13">
      <c r="C27" s="246">
        <v>19</v>
      </c>
      <c r="D27" s="243" t="s">
        <v>159</v>
      </c>
      <c r="G27" s="246">
        <v>19</v>
      </c>
      <c r="H27" s="246">
        <v>23</v>
      </c>
      <c r="I27" s="243" t="s">
        <v>162</v>
      </c>
      <c r="L27" s="246">
        <v>23</v>
      </c>
      <c r="M27" s="243" t="s">
        <v>158</v>
      </c>
    </row>
    <row r="28" spans="3:13">
      <c r="C28" s="246">
        <v>20</v>
      </c>
      <c r="D28" s="243" t="s">
        <v>157</v>
      </c>
      <c r="G28" s="246">
        <v>20</v>
      </c>
      <c r="H28" s="246">
        <v>24</v>
      </c>
      <c r="I28" s="243" t="s">
        <v>160</v>
      </c>
      <c r="L28" s="246">
        <v>24</v>
      </c>
      <c r="M28" s="243" t="s">
        <v>156</v>
      </c>
    </row>
    <row r="29" spans="3:13">
      <c r="C29" s="246">
        <v>21</v>
      </c>
      <c r="D29" s="244" t="s">
        <v>155</v>
      </c>
      <c r="G29" s="246">
        <v>21</v>
      </c>
      <c r="H29" s="246">
        <v>25</v>
      </c>
      <c r="I29" s="243" t="s">
        <v>158</v>
      </c>
      <c r="L29" s="246"/>
      <c r="M29" s="243"/>
    </row>
    <row r="30" spans="3:13">
      <c r="C30" s="246"/>
      <c r="G30" s="246">
        <v>22</v>
      </c>
      <c r="H30" s="246">
        <v>26</v>
      </c>
      <c r="I30" s="244" t="s">
        <v>156</v>
      </c>
      <c r="L30" s="246"/>
      <c r="M30" s="244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 ca="1">"I.  S&amp;P Utility Credit Ratings Distribution -- " &amp; B6</f>
        <v>I.  S&amp;P Utility Credit Ratings Distribution -- 2021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'Credit_2021Q2'!d:d</v>
      </c>
      <c r="AK2" s="173" t="str">
        <f ca="1">AK4 &amp; AK3</f>
        <v>'Credit_2021Q2'!b1</v>
      </c>
      <c r="AL2" s="173" t="str">
        <f ca="1">AL4 &amp; AL3</f>
        <v>'Credit_2021Q2'!c1</v>
      </c>
      <c r="AQ2" s="169"/>
    </row>
    <row r="3" spans="1:61" ht="18" hidden="1" outlineLevel="1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'Credit_2021Q2'!</v>
      </c>
      <c r="AK4" s="169" t="str">
        <f t="shared" ref="AK4:AL4" ca="1" si="0">$AQ$5</f>
        <v>'Credit_2021Q2'!</v>
      </c>
      <c r="AL4" s="169" t="str">
        <f t="shared" ca="1" si="0"/>
        <v>'Credit_2021Q2'!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 ca="1"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(9)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317</v>
      </c>
    </row>
    <row r="6" spans="1:61" ht="28.5" customHeight="1">
      <c r="A6" s="219" t="s">
        <v>212</v>
      </c>
      <c r="B6" s="220" t="s">
        <v>318</v>
      </c>
      <c r="C6" s="249" t="s">
        <v>214</v>
      </c>
      <c r="D6" s="221"/>
      <c r="E6" s="222">
        <f ca="1">INDIRECT( E3 &amp; G1 )</f>
        <v>44196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68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9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65"/>
      <c r="G11" s="366">
        <f t="shared" ca="1" si="1"/>
        <v>22</v>
      </c>
      <c r="H11" s="367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9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65"/>
      <c r="G13" s="366">
        <f t="shared" ca="1" si="1"/>
        <v>30</v>
      </c>
      <c r="H13" s="367"/>
      <c r="I13" s="235"/>
      <c r="J13" s="217" t="s">
        <v>143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9">
      <c r="A14" s="223" t="s">
        <v>281</v>
      </c>
      <c r="B14" s="224" t="s">
        <v>139</v>
      </c>
      <c r="C14" s="224">
        <v>20</v>
      </c>
      <c r="D14" s="224" t="s">
        <v>282</v>
      </c>
      <c r="E14" s="225" t="str">
        <f t="shared" ca="1" si="9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9">
      <c r="A15" s="223" t="s">
        <v>243</v>
      </c>
      <c r="B15" s="224" t="s">
        <v>139</v>
      </c>
      <c r="C15" s="224">
        <v>20</v>
      </c>
      <c r="D15" s="224" t="s">
        <v>244</v>
      </c>
      <c r="E15" s="225" t="str">
        <f t="shared" ca="1" si="9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9">
      <c r="A16" s="223" t="s">
        <v>293</v>
      </c>
      <c r="B16" s="224" t="s">
        <v>139</v>
      </c>
      <c r="C16" s="224">
        <v>20</v>
      </c>
      <c r="D16" s="224" t="s">
        <v>294</v>
      </c>
      <c r="E16" s="225" t="str">
        <f t="shared" ca="1" si="9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aca="1" ref="L16" ca="1">SUM( IF( LEN( $C$7:$C$65 ) = 0, 0, $C$7:$C$65 ) ) / SUM( IF( LEN( $C$7:$C$65 ) = 0, 0, 1  ) )</f>
        <v>18.795454545454547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18.742857142857144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9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9"/>
        <v>R</v>
      </c>
      <c r="F17" s="365"/>
      <c r="G17" s="366">
        <f t="shared" ca="1" si="1"/>
        <v>44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9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9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9">
      <c r="A19" s="223" t="s">
        <v>225</v>
      </c>
      <c r="B19" s="224" t="s">
        <v>140</v>
      </c>
      <c r="C19" s="224">
        <v>19</v>
      </c>
      <c r="D19" s="224" t="s">
        <v>226</v>
      </c>
      <c r="E19" s="225" t="str">
        <f t="shared" ca="1" si="9"/>
        <v>R</v>
      </c>
      <c r="F19" s="365"/>
      <c r="G19" s="366">
        <f t="shared" ca="1" si="1"/>
        <v>9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9">
      <c r="A20" s="223" t="s">
        <v>233</v>
      </c>
      <c r="B20" s="224" t="s">
        <v>140</v>
      </c>
      <c r="C20" s="224">
        <v>19</v>
      </c>
      <c r="D20" s="224" t="s">
        <v>234</v>
      </c>
      <c r="E20" s="225" t="str">
        <f t="shared" ca="1" si="9"/>
        <v>MR</v>
      </c>
      <c r="F20" s="365"/>
      <c r="G20" s="366">
        <f t="shared" ca="1" si="1"/>
        <v>11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9">
      <c r="A21" s="223" t="s">
        <v>245</v>
      </c>
      <c r="B21" s="224" t="s">
        <v>140</v>
      </c>
      <c r="C21" s="224">
        <v>19</v>
      </c>
      <c r="D21" s="224" t="s">
        <v>246</v>
      </c>
      <c r="E21" s="225" t="str">
        <f t="shared" ca="1" si="9"/>
        <v>R</v>
      </c>
      <c r="F21" s="365"/>
      <c r="G21" s="366">
        <f t="shared" ca="1" si="1"/>
        <v>13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9">
      <c r="A22" s="223" t="s">
        <v>249</v>
      </c>
      <c r="B22" s="224" t="s">
        <v>140</v>
      </c>
      <c r="C22" s="224">
        <v>19</v>
      </c>
      <c r="D22" s="224" t="s">
        <v>250</v>
      </c>
      <c r="E22" s="225" t="str">
        <f t="shared" ca="1" si="9"/>
        <v>R</v>
      </c>
      <c r="F22" s="365"/>
      <c r="G22" s="366">
        <f t="shared" ca="1" si="1"/>
        <v>14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9">
      <c r="A23" s="223" t="s">
        <v>256</v>
      </c>
      <c r="B23" s="224" t="s">
        <v>140</v>
      </c>
      <c r="C23" s="224">
        <v>19</v>
      </c>
      <c r="D23" s="224" t="s">
        <v>257</v>
      </c>
      <c r="E23" s="225" t="str">
        <f t="shared" ca="1" si="9"/>
        <v>R</v>
      </c>
      <c r="F23" s="365"/>
      <c r="G23" s="366">
        <f t="shared" ca="1" si="1"/>
        <v>15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9">
      <c r="A24" s="223" t="s">
        <v>258</v>
      </c>
      <c r="B24" s="224" t="s">
        <v>140</v>
      </c>
      <c r="C24" s="224">
        <v>19</v>
      </c>
      <c r="D24" s="224" t="s">
        <v>194</v>
      </c>
      <c r="E24" s="225" t="str">
        <f t="shared" ca="1" si="9"/>
        <v>R</v>
      </c>
      <c r="F24" s="365"/>
      <c r="G24" s="366">
        <f t="shared" ca="1" si="1"/>
        <v>17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9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9"/>
        <v>MR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9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9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9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65"/>
      <c r="G27" s="366">
        <f t="shared" ca="1" si="1"/>
        <v>21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9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65"/>
      <c r="G28" s="366">
        <f t="shared" ca="1" si="1"/>
        <v>24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65"/>
      <c r="G29" s="366">
        <f t="shared" ca="1" si="1"/>
        <v>28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65"/>
      <c r="G30" s="366">
        <f t="shared" ca="1" si="1"/>
        <v>31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9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65"/>
      <c r="G31" s="366">
        <f t="shared" ca="1" si="1"/>
        <v>33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9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65"/>
      <c r="G32" s="366">
        <f t="shared" ca="1" si="1"/>
        <v>38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65"/>
      <c r="G33" s="366">
        <f t="shared" ca="1" si="1"/>
        <v>40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R</v>
      </c>
      <c r="F34" s="365"/>
      <c r="G34" s="366">
        <f t="shared" ca="1" si="1"/>
        <v>41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9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65"/>
      <c r="G39" s="366">
        <f t="shared" ca="1" si="1"/>
        <v>27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9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65"/>
      <c r="G40" s="366">
        <f t="shared" ca="1" si="1"/>
        <v>55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9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65"/>
      <c r="G41" s="366">
        <f t="shared" ca="1" si="1"/>
        <v>32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9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65"/>
      <c r="G42" s="366">
        <f t="shared" ca="1" si="1"/>
        <v>34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9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65"/>
      <c r="G43" s="366">
        <f t="shared" ca="1" si="1"/>
        <v>37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9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65"/>
      <c r="G44" s="366">
        <f t="shared" ca="1" si="1"/>
        <v>53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9">
      <c r="A45" s="223" t="s">
        <v>279</v>
      </c>
      <c r="B45" s="224" t="s">
        <v>142</v>
      </c>
      <c r="C45" s="224">
        <v>17</v>
      </c>
      <c r="D45" s="224" t="s">
        <v>280</v>
      </c>
      <c r="E45" s="225" t="str">
        <f t="shared" ca="1" si="9"/>
        <v>MR</v>
      </c>
      <c r="F45" s="365"/>
      <c r="G45" s="366">
        <f t="shared" ca="1" si="1"/>
        <v>26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9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65"/>
      <c r="G46" s="366">
        <f t="shared" ca="1" si="1"/>
        <v>57</v>
      </c>
      <c r="H46" s="367"/>
      <c r="I46" s="191"/>
      <c r="K46" s="191"/>
      <c r="N46" s="368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9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9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65"/>
      <c r="G48" s="366">
        <f t="shared" ca="1" si="1"/>
        <v>25</v>
      </c>
      <c r="H48" s="367"/>
      <c r="I48" s="367"/>
      <c r="K48" s="191"/>
      <c r="M48" s="368"/>
      <c r="N48" s="368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9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65"/>
      <c r="G49" s="366">
        <f t="shared" ca="1" si="1"/>
        <v>35</v>
      </c>
      <c r="H49" s="367"/>
      <c r="I49" s="367"/>
      <c r="J49" s="191"/>
      <c r="K49" s="191"/>
      <c r="M49" s="368"/>
      <c r="N49" s="368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9">
      <c r="A50" s="223"/>
      <c r="B50" s="224"/>
      <c r="C50" s="224"/>
      <c r="D50" s="224"/>
      <c r="E50" s="225"/>
      <c r="F50" s="365"/>
      <c r="G50" s="366"/>
      <c r="H50" s="367"/>
      <c r="I50" s="367"/>
      <c r="J50" s="191"/>
      <c r="K50" s="191"/>
      <c r="M50" s="368"/>
      <c r="N50" s="368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29</v>
      </c>
      <c r="H61" s="367"/>
      <c r="I61" s="367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 ca="1">SUMPRODUCT( L8:L13, Y8:Y13 ) / L14</f>
        <v>18.818181818181817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87" priority="31" stopIfTrue="1">
      <formula>IF( $AH7 = 1, TRUE, FALSE )</formula>
    </cfRule>
    <cfRule type="expression" dxfId="1486" priority="32" stopIfTrue="1">
      <formula>IF( $AG7 = 1, TRUE, FALSE )</formula>
    </cfRule>
    <cfRule type="expression" dxfId="1485" priority="33" stopIfTrue="1">
      <formula>IF( $AF7 = 1, TRUE, FALSE )</formula>
    </cfRule>
  </conditionalFormatting>
  <conditionalFormatting sqref="A67:E67">
    <cfRule type="expression" dxfId="1484" priority="34" stopIfTrue="1">
      <formula>IF( $AH67 = 1, TRUE, FALSE )</formula>
    </cfRule>
    <cfRule type="expression" dxfId="1483" priority="35" stopIfTrue="1">
      <formula>IF( $AG67 = 1, TRUE, FALSE )</formula>
    </cfRule>
    <cfRule type="expression" dxfId="1482" priority="36" stopIfTrue="1">
      <formula>IF( $AF67 = 1, TRUE, FALSE )</formula>
    </cfRule>
  </conditionalFormatting>
  <conditionalFormatting sqref="A66:E66">
    <cfRule type="expression" dxfId="1481" priority="28" stopIfTrue="1">
      <formula>IF( $AH66 = 1, TRUE, FALSE )</formula>
    </cfRule>
    <cfRule type="expression" dxfId="1480" priority="29" stopIfTrue="1">
      <formula>IF( $AG66 = 1, TRUE, FALSE )</formula>
    </cfRule>
    <cfRule type="expression" dxfId="1479" priority="30" stopIfTrue="1">
      <formula>IF( $AF66 = 1, TRUE, FALSE )</formula>
    </cfRule>
  </conditionalFormatting>
  <conditionalFormatting sqref="A8:D33 B7:D7 A35:D58">
    <cfRule type="expression" dxfId="1478" priority="25" stopIfTrue="1">
      <formula>IF( $AH7 = 1, TRUE, FALSE )</formula>
    </cfRule>
    <cfRule type="expression" dxfId="1477" priority="26" stopIfTrue="1">
      <formula>IF( $AG7 = 1, TRUE, FALSE )</formula>
    </cfRule>
    <cfRule type="expression" dxfId="1476" priority="27" stopIfTrue="1">
      <formula>IF( $AF7 = 1, TRUE, FALSE )</formula>
    </cfRule>
  </conditionalFormatting>
  <conditionalFormatting sqref="A59:D59">
    <cfRule type="expression" dxfId="1475" priority="22" stopIfTrue="1">
      <formula>IF( $AH59 = 1, TRUE, FALSE )</formula>
    </cfRule>
    <cfRule type="expression" dxfId="1474" priority="23" stopIfTrue="1">
      <formula>IF( $AG59 = 1, TRUE, FALSE )</formula>
    </cfRule>
    <cfRule type="expression" dxfId="1473" priority="24" stopIfTrue="1">
      <formula>IF( $AF59 = 1, TRUE, FALSE )</formula>
    </cfRule>
  </conditionalFormatting>
  <conditionalFormatting sqref="A61:D65">
    <cfRule type="expression" dxfId="1472" priority="19" stopIfTrue="1">
      <formula>IF( $AH61 = 1, TRUE, FALSE )</formula>
    </cfRule>
    <cfRule type="expression" dxfId="1471" priority="20" stopIfTrue="1">
      <formula>IF( $AG61 = 1, TRUE, FALSE )</formula>
    </cfRule>
    <cfRule type="expression" dxfId="1470" priority="21" stopIfTrue="1">
      <formula>IF( $AF61 = 1, TRUE, FALSE )</formula>
    </cfRule>
  </conditionalFormatting>
  <conditionalFormatting sqref="U8:U12">
    <cfRule type="cellIs" dxfId="1469" priority="18" operator="equal">
      <formula>0</formula>
    </cfRule>
  </conditionalFormatting>
  <conditionalFormatting sqref="O8:O12 Q8:Q12">
    <cfRule type="cellIs" dxfId="1468" priority="17" operator="equal">
      <formula>0</formula>
    </cfRule>
  </conditionalFormatting>
  <conditionalFormatting sqref="V8:V12">
    <cfRule type="cellIs" dxfId="1467" priority="16" operator="equal">
      <formula>0</formula>
    </cfRule>
  </conditionalFormatting>
  <conditionalFormatting sqref="S8:S12">
    <cfRule type="cellIs" dxfId="1466" priority="14" operator="equal">
      <formula>0</formula>
    </cfRule>
  </conditionalFormatting>
  <conditionalFormatting sqref="R8:R12">
    <cfRule type="cellIs" dxfId="1465" priority="15" operator="equal">
      <formula>0</formula>
    </cfRule>
  </conditionalFormatting>
  <conditionalFormatting sqref="P8:P12">
    <cfRule type="cellIs" dxfId="1464" priority="13" operator="equal">
      <formula>0</formula>
    </cfRule>
  </conditionalFormatting>
  <conditionalFormatting sqref="M8:M12">
    <cfRule type="cellIs" dxfId="1463" priority="12" operator="equal">
      <formula>0</formula>
    </cfRule>
  </conditionalFormatting>
  <conditionalFormatting sqref="T8:T12">
    <cfRule type="cellIs" dxfId="1462" priority="11" operator="equal">
      <formula>0</formula>
    </cfRule>
  </conditionalFormatting>
  <conditionalFormatting sqref="N8:N12">
    <cfRule type="cellIs" dxfId="1461" priority="10" operator="equal">
      <formula>0</formula>
    </cfRule>
  </conditionalFormatting>
  <conditionalFormatting sqref="K8:K12">
    <cfRule type="cellIs" dxfId="1460" priority="9" operator="equal">
      <formula>0</formula>
    </cfRule>
  </conditionalFormatting>
  <conditionalFormatting sqref="I8:I12">
    <cfRule type="cellIs" dxfId="1459" priority="8" operator="equal">
      <formula>0</formula>
    </cfRule>
  </conditionalFormatting>
  <conditionalFormatting sqref="W8:W12">
    <cfRule type="cellIs" dxfId="1458" priority="7" operator="equal">
      <formula>0</formula>
    </cfRule>
  </conditionalFormatting>
  <conditionalFormatting sqref="A7">
    <cfRule type="expression" dxfId="1457" priority="4" stopIfTrue="1">
      <formula>IF( $AH7 = 1, TRUE, FALSE )</formula>
    </cfRule>
    <cfRule type="expression" dxfId="1456" priority="5" stopIfTrue="1">
      <formula>IF( $AG7 = 1, TRUE, FALSE )</formula>
    </cfRule>
    <cfRule type="expression" dxfId="1455" priority="6" stopIfTrue="1">
      <formula>IF( $AF7 = 1, TRUE, FALSE )</formula>
    </cfRule>
  </conditionalFormatting>
  <conditionalFormatting sqref="A34:D34">
    <cfRule type="expression" dxfId="1454" priority="1" stopIfTrue="1">
      <formula>IF( $AH34 = 1, TRUE, FALSE )</formula>
    </cfRule>
    <cfRule type="expression" dxfId="1453" priority="2" stopIfTrue="1">
      <formula>IF( $AG34 = 1, TRUE, FALSE )</formula>
    </cfRule>
    <cfRule type="expression" dxfId="145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6" sqref="A6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 ca="1">"I.  S&amp;P Utility Credit Ratings Distribution -- " &amp; B6</f>
        <v>I.  S&amp;P Utility Credit Ratings Distribution -- 2021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'Credit_2021Q1'!d:d</v>
      </c>
      <c r="AK2" s="173" t="str">
        <f ca="1">AK4 &amp; AK3</f>
        <v>'Credit_2021Q1'!b1</v>
      </c>
      <c r="AL2" s="173" t="str">
        <f ca="1">AL4 &amp; AL3</f>
        <v>'Credit_2021Q1'!c1</v>
      </c>
      <c r="AQ2" s="169"/>
    </row>
    <row r="3" spans="1:61" ht="18" hidden="1" outlineLevel="1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'Credit_2021Q1'!</v>
      </c>
      <c r="AK4" s="169" t="str">
        <f t="shared" ref="AK4:AL4" ca="1" si="0">$AQ$5</f>
        <v>'Credit_2021Q1'!</v>
      </c>
      <c r="AL4" s="169" t="str">
        <f t="shared" ca="1" si="0"/>
        <v>'Credit_2021Q1'!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 ca="1"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(9)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319</v>
      </c>
    </row>
    <row r="6" spans="1:61" ht="28.5" customHeight="1">
      <c r="A6" s="219" t="s">
        <v>212</v>
      </c>
      <c r="B6" s="220" t="s">
        <v>320</v>
      </c>
      <c r="C6" s="249" t="s">
        <v>214</v>
      </c>
      <c r="D6" s="221"/>
      <c r="E6" s="222">
        <f ca="1">INDIRECT( E3 &amp; G1 )</f>
        <v>44196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68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9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65"/>
      <c r="G11" s="366">
        <f t="shared" ca="1" si="1"/>
        <v>22</v>
      </c>
      <c r="H11" s="367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9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65"/>
      <c r="G13" s="366">
        <f t="shared" ca="1" si="1"/>
        <v>30</v>
      </c>
      <c r="H13" s="367"/>
      <c r="I13" s="235"/>
      <c r="J13" s="217" t="s">
        <v>143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9">
      <c r="A14" s="223" t="s">
        <v>281</v>
      </c>
      <c r="B14" s="224" t="s">
        <v>139</v>
      </c>
      <c r="C14" s="224">
        <v>20</v>
      </c>
      <c r="D14" s="224" t="s">
        <v>282</v>
      </c>
      <c r="E14" s="225" t="str">
        <f t="shared" ca="1" si="9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9">
      <c r="A15" s="223" t="s">
        <v>243</v>
      </c>
      <c r="B15" s="224" t="s">
        <v>139</v>
      </c>
      <c r="C15" s="224">
        <v>20</v>
      </c>
      <c r="D15" s="224" t="s">
        <v>244</v>
      </c>
      <c r="E15" s="225" t="str">
        <f t="shared" ca="1" si="9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9">
      <c r="A16" s="223" t="s">
        <v>293</v>
      </c>
      <c r="B16" s="224" t="s">
        <v>139</v>
      </c>
      <c r="C16" s="224">
        <v>20</v>
      </c>
      <c r="D16" s="224" t="s">
        <v>294</v>
      </c>
      <c r="E16" s="225" t="str">
        <f t="shared" ca="1" si="9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aca="1" ref="L16" ca="1">SUM( IF( LEN( $C$7:$C$65 ) = 0, 0, $C$7:$C$65 ) ) / SUM( IF( LEN( $C$7:$C$65 ) = 0, 0, 1  ) )</f>
        <v>18.795454545454547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18.742857142857144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9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9"/>
        <v>R</v>
      </c>
      <c r="F17" s="365"/>
      <c r="G17" s="366">
        <f t="shared" ca="1" si="1"/>
        <v>44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9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9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9">
      <c r="A19" s="223" t="s">
        <v>225</v>
      </c>
      <c r="B19" s="224" t="s">
        <v>140</v>
      </c>
      <c r="C19" s="224">
        <v>19</v>
      </c>
      <c r="D19" s="224" t="s">
        <v>226</v>
      </c>
      <c r="E19" s="225" t="str">
        <f t="shared" ca="1" si="9"/>
        <v>R</v>
      </c>
      <c r="F19" s="365"/>
      <c r="G19" s="366">
        <f t="shared" ca="1" si="1"/>
        <v>9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9">
      <c r="A20" s="223" t="s">
        <v>233</v>
      </c>
      <c r="B20" s="224" t="s">
        <v>140</v>
      </c>
      <c r="C20" s="224">
        <v>19</v>
      </c>
      <c r="D20" s="224" t="s">
        <v>234</v>
      </c>
      <c r="E20" s="225" t="str">
        <f t="shared" ca="1" si="9"/>
        <v>MR</v>
      </c>
      <c r="F20" s="365"/>
      <c r="G20" s="366">
        <f t="shared" ca="1" si="1"/>
        <v>11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9">
      <c r="A21" s="223" t="s">
        <v>245</v>
      </c>
      <c r="B21" s="224" t="s">
        <v>140</v>
      </c>
      <c r="C21" s="224">
        <v>19</v>
      </c>
      <c r="D21" s="224" t="s">
        <v>246</v>
      </c>
      <c r="E21" s="225" t="str">
        <f t="shared" ca="1" si="9"/>
        <v>R</v>
      </c>
      <c r="F21" s="365"/>
      <c r="G21" s="366">
        <f t="shared" ca="1" si="1"/>
        <v>13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9">
      <c r="A22" s="223" t="s">
        <v>249</v>
      </c>
      <c r="B22" s="224" t="s">
        <v>140</v>
      </c>
      <c r="C22" s="224">
        <v>19</v>
      </c>
      <c r="D22" s="224" t="s">
        <v>250</v>
      </c>
      <c r="E22" s="225" t="str">
        <f t="shared" ca="1" si="9"/>
        <v>R</v>
      </c>
      <c r="F22" s="365"/>
      <c r="G22" s="366">
        <f t="shared" ca="1" si="1"/>
        <v>14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9">
      <c r="A23" s="223" t="s">
        <v>256</v>
      </c>
      <c r="B23" s="224" t="s">
        <v>140</v>
      </c>
      <c r="C23" s="224">
        <v>19</v>
      </c>
      <c r="D23" s="224" t="s">
        <v>257</v>
      </c>
      <c r="E23" s="225" t="str">
        <f t="shared" ca="1" si="9"/>
        <v>R</v>
      </c>
      <c r="F23" s="365"/>
      <c r="G23" s="366">
        <f t="shared" ca="1" si="1"/>
        <v>15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9">
      <c r="A24" s="223" t="s">
        <v>258</v>
      </c>
      <c r="B24" s="224" t="s">
        <v>140</v>
      </c>
      <c r="C24" s="224">
        <v>19</v>
      </c>
      <c r="D24" s="224" t="s">
        <v>194</v>
      </c>
      <c r="E24" s="225" t="str">
        <f t="shared" ca="1" si="9"/>
        <v>R</v>
      </c>
      <c r="F24" s="365"/>
      <c r="G24" s="366">
        <f t="shared" ca="1" si="1"/>
        <v>17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9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9"/>
        <v>MR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9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9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9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65"/>
      <c r="G27" s="366">
        <f t="shared" ca="1" si="1"/>
        <v>21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9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65"/>
      <c r="G28" s="366">
        <f t="shared" ca="1" si="1"/>
        <v>24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65"/>
      <c r="G29" s="366">
        <f t="shared" ca="1" si="1"/>
        <v>28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65"/>
      <c r="G30" s="366">
        <f t="shared" ca="1" si="1"/>
        <v>31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9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65"/>
      <c r="G31" s="366">
        <f t="shared" ca="1" si="1"/>
        <v>33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9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65"/>
      <c r="G32" s="366">
        <f t="shared" ca="1" si="1"/>
        <v>38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65"/>
      <c r="G33" s="366">
        <f t="shared" ca="1" si="1"/>
        <v>40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R</v>
      </c>
      <c r="F34" s="365"/>
      <c r="G34" s="366">
        <f t="shared" ca="1" si="1"/>
        <v>41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9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65"/>
      <c r="G39" s="366">
        <f t="shared" ca="1" si="1"/>
        <v>27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9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65"/>
      <c r="G40" s="366">
        <f t="shared" ca="1" si="1"/>
        <v>55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9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65"/>
      <c r="G41" s="366">
        <f t="shared" ca="1" si="1"/>
        <v>32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9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65"/>
      <c r="G42" s="366">
        <f t="shared" ca="1" si="1"/>
        <v>34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9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65"/>
      <c r="G43" s="366">
        <f t="shared" ca="1" si="1"/>
        <v>37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9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65"/>
      <c r="G44" s="366">
        <f t="shared" ca="1" si="1"/>
        <v>53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9">
      <c r="A45" s="223" t="s">
        <v>279</v>
      </c>
      <c r="B45" s="224" t="s">
        <v>142</v>
      </c>
      <c r="C45" s="224">
        <v>17</v>
      </c>
      <c r="D45" s="224" t="s">
        <v>280</v>
      </c>
      <c r="E45" s="225" t="str">
        <f t="shared" ca="1" si="9"/>
        <v>MR</v>
      </c>
      <c r="F45" s="365"/>
      <c r="G45" s="366">
        <f t="shared" ca="1" si="1"/>
        <v>26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9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65"/>
      <c r="G46" s="366">
        <f t="shared" ca="1" si="1"/>
        <v>57</v>
      </c>
      <c r="H46" s="367"/>
      <c r="I46" s="191"/>
      <c r="K46" s="191"/>
      <c r="N46" s="368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9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9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65"/>
      <c r="G48" s="366">
        <f t="shared" ca="1" si="1"/>
        <v>25</v>
      </c>
      <c r="H48" s="367"/>
      <c r="I48" s="367"/>
      <c r="K48" s="191"/>
      <c r="M48" s="368"/>
      <c r="N48" s="368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9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65"/>
      <c r="G49" s="366">
        <f t="shared" ca="1" si="1"/>
        <v>35</v>
      </c>
      <c r="H49" s="367"/>
      <c r="I49" s="367"/>
      <c r="J49" s="191"/>
      <c r="K49" s="191"/>
      <c r="M49" s="368"/>
      <c r="N49" s="368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9">
      <c r="A50" s="223"/>
      <c r="B50" s="224"/>
      <c r="C50" s="224"/>
      <c r="D50" s="224"/>
      <c r="E50" s="225"/>
      <c r="F50" s="365"/>
      <c r="G50" s="366"/>
      <c r="H50" s="367"/>
      <c r="I50" s="367"/>
      <c r="J50" s="191"/>
      <c r="K50" s="191"/>
      <c r="M50" s="368"/>
      <c r="N50" s="368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29</v>
      </c>
      <c r="H61" s="367"/>
      <c r="I61" s="367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 ca="1">SUMPRODUCT( L8:L13, Y8:Y13 ) / L14</f>
        <v>18.818181818181817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pane="bottomLeft" activeCell="A7" sqref="A7"/>
      <selection activeCell="A7" sqref="A7"/>
    </sheetView>
  </sheetViews>
  <sheetFormatPr defaultColWidth="9.140625" defaultRowHeight="13.15" outlineLevelRow="1" outlineLevelCol="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">
      <c r="A1" s="238" t="str">
        <f ca="1">"I.  S&amp;P Utility Credit Ratings Distribution -- " &amp; B6</f>
        <v>I.  S&amp;P Utility Credit Ratings Distribution -- 2021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'Credit_2020Q4'!d:d</v>
      </c>
      <c r="AK2" s="173" t="str">
        <f ca="1">AK4 &amp; AK3</f>
        <v>'Credit_2020Q4'!b1</v>
      </c>
      <c r="AL2" s="173" t="str">
        <f ca="1">AL4 &amp; AL3</f>
        <v>'Credit_2020Q4'!c1</v>
      </c>
      <c r="AQ2" s="169"/>
    </row>
    <row r="3" spans="1:61" ht="18" hidden="1" outlineLevel="1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'Credit_2020Q4'!</v>
      </c>
      <c r="AK4" s="169" t="str">
        <f t="shared" ref="AK4:AL4" ca="1" si="0">$AQ$5</f>
        <v>'Credit_2020Q4'!</v>
      </c>
      <c r="AL4" s="169" t="str">
        <f t="shared" ca="1" si="0"/>
        <v>'Credit_2020Q4'!</v>
      </c>
      <c r="AQ4" s="169"/>
    </row>
    <row r="5" spans="1:61" ht="13.9" collapsed="1">
      <c r="E5" s="176" t="s">
        <v>209</v>
      </c>
      <c r="G5" s="170" t="s">
        <v>199</v>
      </c>
      <c r="I5" s="230"/>
      <c r="J5" s="357" t="s">
        <v>210</v>
      </c>
      <c r="K5" s="230"/>
      <c r="L5" s="359" t="str">
        <f ca="1">"All Companies" &amp; CHAR( 10 ) &amp; "("&amp; L14 &amp; ")"</f>
        <v>All Companies
(44)</v>
      </c>
      <c r="M5" s="359"/>
      <c r="N5" s="230"/>
      <c r="O5" s="357" t="str">
        <f ca="1">"Regulated" &amp; CHAR( 10 ) &amp; "(" &amp; O14 &amp; ")"</f>
        <v>Regulated
(35)</v>
      </c>
      <c r="P5" s="361"/>
      <c r="Q5" s="230"/>
      <c r="R5" s="357" t="str">
        <f ca="1">"Mostly Regulated" &amp; CHAR( 10 ) &amp; "(" &amp; R14 &amp; ")"</f>
        <v>Mostly Regulated
(9)</v>
      </c>
      <c r="S5" s="361"/>
      <c r="T5" s="230"/>
      <c r="U5" s="357" t="str">
        <f ca="1">"Diversified" &amp; CHAR( 10 ) &amp; "(" &amp; U14 &amp; ")"</f>
        <v>Diversified
(0)</v>
      </c>
      <c r="V5" s="361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321</v>
      </c>
    </row>
    <row r="6" spans="1:61" ht="28.5" customHeight="1">
      <c r="A6" s="219" t="s">
        <v>212</v>
      </c>
      <c r="B6" s="220" t="s">
        <v>322</v>
      </c>
      <c r="C6" s="249" t="s">
        <v>214</v>
      </c>
      <c r="D6" s="221"/>
      <c r="E6" s="222">
        <f ca="1">INDIRECT( E3 &amp; G1 )</f>
        <v>44196</v>
      </c>
      <c r="I6" s="231"/>
      <c r="J6" s="358"/>
      <c r="K6" s="231"/>
      <c r="L6" s="360"/>
      <c r="M6" s="360"/>
      <c r="N6" s="231"/>
      <c r="O6" s="358"/>
      <c r="P6" s="358"/>
      <c r="Q6" s="231"/>
      <c r="R6" s="358" t="s">
        <v>136</v>
      </c>
      <c r="S6" s="358"/>
      <c r="T6" s="231"/>
      <c r="U6" s="358"/>
      <c r="V6" s="358"/>
      <c r="W6" s="231"/>
      <c r="AE6" s="178"/>
      <c r="AJ6" s="179"/>
    </row>
    <row r="7" spans="1:61" ht="13.9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65"/>
      <c r="G7" s="366">
        <f t="shared" ref="G7:G62" ca="1" si="1">IF( LEN( $D7 ) = 0, "", MATCH( $D7, INDIRECT( G$3 &amp; G$4 ), 0 ) )</f>
        <v>56</v>
      </c>
      <c r="H7" s="367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9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65"/>
      <c r="G8" s="366">
        <f t="shared" ca="1" si="1"/>
        <v>8</v>
      </c>
      <c r="H8" s="367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68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9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65"/>
      <c r="G9" s="366">
        <f t="shared" ca="1" si="1"/>
        <v>10</v>
      </c>
      <c r="H9" s="367"/>
      <c r="I9" s="234"/>
      <c r="J9" s="215" t="s">
        <v>139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68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9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65"/>
      <c r="G10" s="366">
        <f t="shared" ca="1" si="1"/>
        <v>16</v>
      </c>
      <c r="H10" s="367"/>
      <c r="I10" s="234"/>
      <c r="J10" s="215" t="s">
        <v>140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9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65"/>
      <c r="G11" s="366">
        <f t="shared" ca="1" si="1"/>
        <v>22</v>
      </c>
      <c r="H11" s="367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12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9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65"/>
      <c r="G12" s="366">
        <f t="shared" ca="1" si="1"/>
        <v>23</v>
      </c>
      <c r="H12" s="367"/>
      <c r="I12" s="234"/>
      <c r="J12" s="215" t="s">
        <v>142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13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9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65"/>
      <c r="G13" s="366">
        <f t="shared" ca="1" si="1"/>
        <v>30</v>
      </c>
      <c r="H13" s="367"/>
      <c r="I13" s="235"/>
      <c r="J13" s="217" t="s">
        <v>143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14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9">
      <c r="A14" s="223" t="s">
        <v>281</v>
      </c>
      <c r="B14" s="224" t="s">
        <v>139</v>
      </c>
      <c r="C14" s="224">
        <v>20</v>
      </c>
      <c r="D14" s="224" t="s">
        <v>282</v>
      </c>
      <c r="E14" s="225" t="str">
        <f t="shared" ca="1" si="9"/>
        <v>R</v>
      </c>
      <c r="F14" s="365"/>
      <c r="G14" s="366">
        <f t="shared" ca="1" si="1"/>
        <v>36</v>
      </c>
      <c r="H14" s="367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9">
      <c r="A15" s="223" t="s">
        <v>243</v>
      </c>
      <c r="B15" s="224" t="s">
        <v>139</v>
      </c>
      <c r="C15" s="224">
        <v>20</v>
      </c>
      <c r="D15" s="224" t="s">
        <v>244</v>
      </c>
      <c r="E15" s="225" t="str">
        <f t="shared" ca="1" si="9"/>
        <v>R</v>
      </c>
      <c r="F15" s="365"/>
      <c r="G15" s="366">
        <f t="shared" ca="1" si="1"/>
        <v>39</v>
      </c>
      <c r="H15" s="367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16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9">
      <c r="A16" s="223" t="s">
        <v>293</v>
      </c>
      <c r="B16" s="224" t="s">
        <v>139</v>
      </c>
      <c r="C16" s="224">
        <v>20</v>
      </c>
      <c r="D16" s="224" t="s">
        <v>294</v>
      </c>
      <c r="E16" s="225" t="str">
        <f t="shared" ca="1" si="9"/>
        <v>R</v>
      </c>
      <c r="F16" s="365"/>
      <c r="G16" s="366">
        <f t="shared" ca="1" si="1"/>
        <v>42</v>
      </c>
      <c r="H16" s="367"/>
      <c r="I16" s="232"/>
      <c r="J16" s="210" t="s">
        <v>253</v>
      </c>
      <c r="K16" s="232"/>
      <c r="L16" s="354">
        <f t="array" aca="1" ref="L16" ca="1">SUM( IF( LEN( $C$7:$C$65 ) = 0, 0, $C$7:$C$65 ) ) / SUM( IF( LEN( $C$7:$C$65 ) = 0, 0, 1  ) )</f>
        <v>18.795454545454547</v>
      </c>
      <c r="M16" s="355"/>
      <c r="N16" s="232"/>
      <c r="O16" s="354">
        <f t="array" aca="1" ref="O16" ca="1">SUM( IF( LEN( $C$7:$C$65 ) = 0, 0, IF( $E$7:$E$65 = O3, $C$7:$C$65, 0 ) ) ) / SUM( IF( LEN( $C$7:$C$65 ) = 0, 0, IF( $E$7:$E$65 = O3, 1, 0 ) ) )</f>
        <v>18.742857142857144</v>
      </c>
      <c r="P16" s="355"/>
      <c r="Q16" s="232"/>
      <c r="R16" s="354">
        <f t="array" aca="1" ref="R16" ca="1">SUM( IF( LEN( $C$7:$C$65 ) = 0, 0, IF( $E$7:$E$65 = R3, $C$7:$C$65, 0 ) ) ) / SUM( IF( LEN( $C$7:$C$65 ) = 0, 0, IF( $E$7:$E$65 = R3, 1, 0 ) ) )</f>
        <v>19</v>
      </c>
      <c r="S16" s="355"/>
      <c r="T16" s="232"/>
      <c r="U16" s="354" t="e">
        <f t="array" aca="1" ref="U16" ca="1">SUM( IF( LEN( $C$7:$C$65 ) = 0, 0, IF( $E$7:$E$65 = U3, $C$7:$C$65, 0 ) ) ) / SUM( IF( LEN( $C$7:$C$65 ) = 0, 0, IF( $E$7:$E$65 = U3, 1, 0 ) ) )</f>
        <v>#DIV/0!</v>
      </c>
      <c r="V16" s="356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17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9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9"/>
        <v>R</v>
      </c>
      <c r="F17" s="365"/>
      <c r="G17" s="366">
        <f t="shared" ca="1" si="1"/>
        <v>44</v>
      </c>
      <c r="H17" s="367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18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9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9"/>
        <v>R</v>
      </c>
      <c r="F18" s="365"/>
      <c r="G18" s="366">
        <f t="shared" ca="1" si="1"/>
        <v>45</v>
      </c>
      <c r="H18" s="367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19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9">
      <c r="A19" s="223" t="s">
        <v>225</v>
      </c>
      <c r="B19" s="224" t="s">
        <v>140</v>
      </c>
      <c r="C19" s="224">
        <v>19</v>
      </c>
      <c r="D19" s="224" t="s">
        <v>226</v>
      </c>
      <c r="E19" s="225" t="str">
        <f t="shared" ca="1" si="9"/>
        <v>R</v>
      </c>
      <c r="F19" s="365"/>
      <c r="G19" s="366">
        <f t="shared" ca="1" si="1"/>
        <v>9</v>
      </c>
      <c r="H19" s="367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20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9">
      <c r="A20" s="223" t="s">
        <v>233</v>
      </c>
      <c r="B20" s="224" t="s">
        <v>140</v>
      </c>
      <c r="C20" s="224">
        <v>19</v>
      </c>
      <c r="D20" s="224" t="s">
        <v>234</v>
      </c>
      <c r="E20" s="225" t="str">
        <f t="shared" ca="1" si="9"/>
        <v>MR</v>
      </c>
      <c r="F20" s="365"/>
      <c r="G20" s="366">
        <f t="shared" ca="1" si="1"/>
        <v>11</v>
      </c>
      <c r="H20" s="367"/>
      <c r="I20" s="369"/>
      <c r="K20" s="369"/>
      <c r="N20" s="369"/>
      <c r="O20" s="173"/>
      <c r="Q20" s="369"/>
      <c r="T20" s="369"/>
      <c r="W20" s="369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9">
      <c r="A21" s="223" t="s">
        <v>245</v>
      </c>
      <c r="B21" s="224" t="s">
        <v>140</v>
      </c>
      <c r="C21" s="224">
        <v>19</v>
      </c>
      <c r="D21" s="224" t="s">
        <v>246</v>
      </c>
      <c r="E21" s="225" t="str">
        <f t="shared" ca="1" si="9"/>
        <v>R</v>
      </c>
      <c r="F21" s="365"/>
      <c r="G21" s="366">
        <f t="shared" ca="1" si="1"/>
        <v>13</v>
      </c>
      <c r="H21" s="367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9">
      <c r="A22" s="223" t="s">
        <v>249</v>
      </c>
      <c r="B22" s="224" t="s">
        <v>140</v>
      </c>
      <c r="C22" s="224">
        <v>19</v>
      </c>
      <c r="D22" s="224" t="s">
        <v>250</v>
      </c>
      <c r="E22" s="225" t="str">
        <f t="shared" ca="1" si="9"/>
        <v>R</v>
      </c>
      <c r="F22" s="365"/>
      <c r="G22" s="366">
        <f t="shared" ca="1" si="1"/>
        <v>14</v>
      </c>
      <c r="H22" s="367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9">
      <c r="A23" s="223" t="s">
        <v>256</v>
      </c>
      <c r="B23" s="224" t="s">
        <v>140</v>
      </c>
      <c r="C23" s="224">
        <v>19</v>
      </c>
      <c r="D23" s="224" t="s">
        <v>257</v>
      </c>
      <c r="E23" s="225" t="str">
        <f t="shared" ca="1" si="9"/>
        <v>R</v>
      </c>
      <c r="F23" s="365"/>
      <c r="G23" s="366">
        <f t="shared" ca="1" si="1"/>
        <v>15</v>
      </c>
      <c r="H23" s="367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9">
      <c r="A24" s="223" t="s">
        <v>258</v>
      </c>
      <c r="B24" s="224" t="s">
        <v>140</v>
      </c>
      <c r="C24" s="224">
        <v>19</v>
      </c>
      <c r="D24" s="224" t="s">
        <v>194</v>
      </c>
      <c r="E24" s="225" t="str">
        <f t="shared" ca="1" si="9"/>
        <v>R</v>
      </c>
      <c r="F24" s="365"/>
      <c r="G24" s="366">
        <f t="shared" ca="1" si="1"/>
        <v>17</v>
      </c>
      <c r="H24" s="367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9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9"/>
        <v>MR</v>
      </c>
      <c r="F25" s="365"/>
      <c r="G25" s="366">
        <f t="shared" ca="1" si="1"/>
        <v>18</v>
      </c>
      <c r="H25" s="367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9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9"/>
        <v>R</v>
      </c>
      <c r="F26" s="365"/>
      <c r="G26" s="366">
        <f t="shared" ca="1" si="1"/>
        <v>19</v>
      </c>
      <c r="H26" s="367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>
        <f t="shared" ca="1" si="19"/>
        <v>1</v>
      </c>
      <c r="AJ26" s="169">
        <f t="shared" ca="1" si="20"/>
        <v>11</v>
      </c>
      <c r="AK26" s="169" t="str">
        <f t="shared" ca="1" si="21"/>
        <v>A-</v>
      </c>
      <c r="AL26" s="169">
        <f t="shared" ca="1" si="21"/>
        <v>20</v>
      </c>
      <c r="AM26" s="169" t="str">
        <f t="shared" ca="1" si="4"/>
        <v>Change</v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9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65"/>
      <c r="G27" s="366">
        <f t="shared" ca="1" si="1"/>
        <v>21</v>
      </c>
      <c r="H27" s="367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9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65"/>
      <c r="G28" s="366">
        <f t="shared" ca="1" si="1"/>
        <v>24</v>
      </c>
      <c r="H28" s="367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9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65"/>
      <c r="G29" s="366">
        <f t="shared" ca="1" si="1"/>
        <v>28</v>
      </c>
      <c r="H29" s="367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9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65"/>
      <c r="G30" s="366">
        <f t="shared" ca="1" si="1"/>
        <v>31</v>
      </c>
      <c r="H30" s="367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9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65"/>
      <c r="G31" s="366">
        <f t="shared" ca="1" si="1"/>
        <v>33</v>
      </c>
      <c r="H31" s="367"/>
      <c r="I31" s="237"/>
      <c r="J31" s="191"/>
      <c r="K31" s="237"/>
      <c r="N31" s="237"/>
      <c r="O31" s="368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9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65"/>
      <c r="G32" s="366">
        <f t="shared" ca="1" si="1"/>
        <v>38</v>
      </c>
      <c r="H32" s="367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9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65"/>
      <c r="G33" s="366">
        <f t="shared" ca="1" si="1"/>
        <v>40</v>
      </c>
      <c r="H33" s="367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9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R</v>
      </c>
      <c r="F34" s="365"/>
      <c r="G34" s="366">
        <f t="shared" ca="1" si="1"/>
        <v>41</v>
      </c>
      <c r="H34" s="367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9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65"/>
      <c r="G35" s="366">
        <f t="shared" ca="1" si="1"/>
        <v>43</v>
      </c>
      <c r="H35" s="367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9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65"/>
      <c r="G36" s="366">
        <f t="shared" ca="1" si="1"/>
        <v>7</v>
      </c>
      <c r="H36" s="367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9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65"/>
      <c r="G37" s="366">
        <f t="shared" ca="1" si="1"/>
        <v>12</v>
      </c>
      <c r="H37" s="367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65"/>
      <c r="G38" s="366">
        <f t="shared" ca="1" si="1"/>
        <v>20</v>
      </c>
      <c r="H38" s="367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9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65"/>
      <c r="G39" s="366">
        <f t="shared" ca="1" si="1"/>
        <v>27</v>
      </c>
      <c r="H39" s="367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9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65"/>
      <c r="G40" s="366">
        <f t="shared" ca="1" si="1"/>
        <v>55</v>
      </c>
      <c r="H40" s="367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43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9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65"/>
      <c r="G41" s="366">
        <f t="shared" ca="1" si="1"/>
        <v>32</v>
      </c>
      <c r="H41" s="367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40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9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65"/>
      <c r="G42" s="366">
        <f t="shared" ca="1" si="1"/>
        <v>34</v>
      </c>
      <c r="H42" s="367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41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9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65"/>
      <c r="G43" s="366">
        <f t="shared" ca="1" si="1"/>
        <v>37</v>
      </c>
      <c r="H43" s="367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42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9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65"/>
      <c r="G44" s="366">
        <f t="shared" ca="1" si="1"/>
        <v>53</v>
      </c>
      <c r="H44" s="367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9">
      <c r="A45" s="223" t="s">
        <v>279</v>
      </c>
      <c r="B45" s="224" t="s">
        <v>142</v>
      </c>
      <c r="C45" s="224">
        <v>17</v>
      </c>
      <c r="D45" s="224" t="s">
        <v>280</v>
      </c>
      <c r="E45" s="225" t="str">
        <f t="shared" ca="1" si="9"/>
        <v>MR</v>
      </c>
      <c r="F45" s="365"/>
      <c r="G45" s="366">
        <f t="shared" ca="1" si="1"/>
        <v>26</v>
      </c>
      <c r="H45" s="367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44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9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65"/>
      <c r="G46" s="366">
        <f t="shared" ca="1" si="1"/>
        <v>57</v>
      </c>
      <c r="H46" s="367"/>
      <c r="I46" s="191"/>
      <c r="K46" s="191"/>
      <c r="N46" s="368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9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65"/>
      <c r="G47" s="366">
        <f t="shared" ca="1" si="1"/>
        <v>54</v>
      </c>
      <c r="H47" s="367"/>
      <c r="I47" s="367"/>
      <c r="J47" s="187" t="s">
        <v>307</v>
      </c>
      <c r="K47" s="191"/>
      <c r="M47" s="368"/>
      <c r="N47" s="368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9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65"/>
      <c r="G48" s="366">
        <f t="shared" ca="1" si="1"/>
        <v>25</v>
      </c>
      <c r="H48" s="367"/>
      <c r="I48" s="367"/>
      <c r="K48" s="191"/>
      <c r="M48" s="368"/>
      <c r="N48" s="368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9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65"/>
      <c r="G49" s="366">
        <f t="shared" ca="1" si="1"/>
        <v>35</v>
      </c>
      <c r="H49" s="367"/>
      <c r="I49" s="367"/>
      <c r="J49" s="191"/>
      <c r="K49" s="191"/>
      <c r="M49" s="368"/>
      <c r="N49" s="368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9">
      <c r="A50" s="223"/>
      <c r="B50" s="224"/>
      <c r="C50" s="224"/>
      <c r="D50" s="224"/>
      <c r="E50" s="225"/>
      <c r="F50" s="365"/>
      <c r="G50" s="366"/>
      <c r="H50" s="367"/>
      <c r="I50" s="367"/>
      <c r="J50" s="191"/>
      <c r="K50" s="191"/>
      <c r="M50" s="368"/>
      <c r="N50" s="368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9">
      <c r="A51" s="223"/>
      <c r="B51" s="224"/>
      <c r="C51" s="224"/>
      <c r="D51" s="224"/>
      <c r="E51" s="225"/>
      <c r="F51" s="365"/>
      <c r="G51" s="366"/>
      <c r="H51" s="367"/>
      <c r="I51" s="367"/>
      <c r="J51" s="191"/>
      <c r="K51" s="191"/>
      <c r="M51" s="368"/>
      <c r="N51" s="368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9">
      <c r="A52" s="223"/>
      <c r="B52" s="224"/>
      <c r="C52" s="224"/>
      <c r="D52" s="224"/>
      <c r="E52" s="225"/>
      <c r="F52" s="365"/>
      <c r="G52" s="366"/>
      <c r="H52" s="367"/>
      <c r="I52" s="367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9">
      <c r="A53" s="223"/>
      <c r="B53" s="224"/>
      <c r="C53" s="224"/>
      <c r="D53" s="224"/>
      <c r="E53" s="225"/>
      <c r="F53" s="365"/>
      <c r="G53" s="366" t="str">
        <f t="shared" ca="1" si="1"/>
        <v/>
      </c>
      <c r="H53" s="367"/>
      <c r="I53" s="367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9">
      <c r="A54" s="223"/>
      <c r="B54" s="224"/>
      <c r="C54" s="224"/>
      <c r="D54" s="224"/>
      <c r="E54" s="225"/>
      <c r="F54" s="365"/>
      <c r="G54" s="366" t="str">
        <f t="shared" ca="1" si="1"/>
        <v/>
      </c>
      <c r="H54" s="367"/>
      <c r="I54" s="367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9">
      <c r="A55" s="223"/>
      <c r="B55" s="224"/>
      <c r="C55" s="224"/>
      <c r="D55" s="224"/>
      <c r="E55" s="225"/>
      <c r="F55" s="365"/>
      <c r="G55" s="366" t="str">
        <f t="shared" ca="1" si="1"/>
        <v/>
      </c>
      <c r="H55" s="367"/>
      <c r="I55" s="367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9">
      <c r="A56" s="223"/>
      <c r="B56" s="224"/>
      <c r="C56" s="224"/>
      <c r="D56" s="224"/>
      <c r="E56" s="225"/>
      <c r="F56" s="365"/>
      <c r="G56" s="366" t="str">
        <f t="shared" ca="1" si="1"/>
        <v/>
      </c>
      <c r="H56" s="367"/>
      <c r="I56" s="367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9">
      <c r="A57" s="223"/>
      <c r="B57" s="224"/>
      <c r="C57" s="224"/>
      <c r="D57" s="224"/>
      <c r="E57" s="225"/>
      <c r="F57" s="365"/>
      <c r="G57" s="366" t="str">
        <f t="shared" ca="1" si="1"/>
        <v/>
      </c>
      <c r="H57" s="367"/>
      <c r="I57" s="367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9">
      <c r="A58" s="223"/>
      <c r="B58" s="224"/>
      <c r="C58" s="224"/>
      <c r="D58" s="224"/>
      <c r="E58" s="225"/>
      <c r="F58" s="365"/>
      <c r="G58" s="366" t="str">
        <f t="shared" ca="1" si="1"/>
        <v/>
      </c>
      <c r="H58" s="367"/>
      <c r="I58" s="367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9">
      <c r="A59" s="223"/>
      <c r="B59" s="224"/>
      <c r="C59" s="224"/>
      <c r="D59" s="224"/>
      <c r="E59" s="225" t="str">
        <f t="shared" ca="1" si="9"/>
        <v/>
      </c>
      <c r="F59" s="365"/>
      <c r="G59" s="366" t="str">
        <f t="shared" ca="1" si="1"/>
        <v/>
      </c>
      <c r="H59" s="367"/>
      <c r="I59" s="367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5" thickBot="1">
      <c r="A60" s="192"/>
      <c r="B60" s="193"/>
      <c r="C60" s="193"/>
      <c r="D60" s="193"/>
      <c r="E60" s="194" t="str">
        <f t="shared" ca="1" si="9"/>
        <v/>
      </c>
      <c r="F60" s="367"/>
      <c r="G60" s="370" t="str">
        <f t="shared" ca="1" si="1"/>
        <v/>
      </c>
      <c r="H60" s="367"/>
      <c r="I60" s="367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9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71"/>
      <c r="G61" s="372">
        <f t="shared" ca="1" si="1"/>
        <v>29</v>
      </c>
      <c r="H61" s="367"/>
      <c r="I61" s="367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9">
      <c r="A62" s="223"/>
      <c r="B62" s="224"/>
      <c r="C62" s="224"/>
      <c r="D62" s="224"/>
      <c r="E62" s="225"/>
      <c r="F62" s="365"/>
      <c r="G62" s="366" t="str">
        <f t="shared" ca="1" si="1"/>
        <v/>
      </c>
      <c r="H62" s="367"/>
      <c r="I62" s="367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9">
      <c r="A63" s="223"/>
      <c r="B63" s="229"/>
      <c r="C63" s="224"/>
      <c r="D63" s="224"/>
      <c r="E63" s="225"/>
      <c r="F63" s="365"/>
      <c r="G63" s="366"/>
      <c r="H63" s="367"/>
      <c r="I63" s="367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9">
      <c r="A64" s="223"/>
      <c r="B64" s="229"/>
      <c r="C64" s="224"/>
      <c r="D64" s="224"/>
      <c r="E64" s="225"/>
      <c r="F64" s="365"/>
      <c r="G64" s="366"/>
      <c r="H64" s="367"/>
      <c r="I64" s="367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9">
      <c r="A65" s="223"/>
      <c r="B65" s="229"/>
      <c r="C65" s="224"/>
      <c r="D65" s="224"/>
      <c r="E65" s="225"/>
      <c r="F65" s="365"/>
      <c r="G65" s="366"/>
      <c r="H65" s="367"/>
      <c r="I65" s="367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9">
      <c r="A66" s="195"/>
      <c r="B66" s="196"/>
      <c r="C66" s="185"/>
      <c r="D66" s="185"/>
      <c r="E66" s="182"/>
      <c r="F66" s="367"/>
      <c r="H66" s="367"/>
      <c r="I66" s="367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5" thickBot="1">
      <c r="A67" s="197"/>
      <c r="B67" s="198"/>
      <c r="C67" s="248"/>
      <c r="D67" s="198"/>
      <c r="E67" s="199"/>
      <c r="F67" s="367"/>
      <c r="H67" s="367"/>
      <c r="I67" s="367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9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67"/>
      <c r="H68" s="367"/>
      <c r="I68" s="367"/>
      <c r="J68" s="368"/>
      <c r="K68" s="368"/>
      <c r="AX68" s="208"/>
      <c r="AZ68" s="169"/>
      <c r="BA68" s="169"/>
      <c r="BD68" s="209"/>
      <c r="BF68" s="169"/>
    </row>
    <row r="69" spans="1:61">
      <c r="A69" s="202"/>
      <c r="B69" s="202"/>
      <c r="F69" s="367"/>
      <c r="H69" s="367"/>
      <c r="I69" s="367"/>
      <c r="AX69" s="208"/>
      <c r="AZ69" s="169"/>
      <c r="BA69" s="169"/>
      <c r="BD69" s="209"/>
    </row>
    <row r="70" spans="1:61">
      <c r="A70" s="202"/>
      <c r="B70" s="202"/>
      <c r="F70" s="173"/>
      <c r="H70" s="173"/>
      <c r="I70" s="173"/>
      <c r="J70" s="368"/>
      <c r="K70" s="368"/>
    </row>
    <row r="71" spans="1:61">
      <c r="A71" s="203" t="s">
        <v>312</v>
      </c>
      <c r="F71" s="173"/>
      <c r="H71" s="173"/>
      <c r="I71" s="173"/>
    </row>
    <row r="72" spans="1:61">
      <c r="A72" s="203" t="s">
        <v>313</v>
      </c>
      <c r="B72" s="173"/>
      <c r="D72" s="173"/>
      <c r="E72" s="173"/>
      <c r="F72" s="204"/>
      <c r="H72" s="204"/>
      <c r="I72" s="204"/>
    </row>
    <row r="73" spans="1:61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>
      <c r="A76" s="203"/>
      <c r="AQ76" s="207"/>
      <c r="AR76" s="207"/>
      <c r="AS76" s="207"/>
    </row>
    <row r="77" spans="1:61">
      <c r="C77" s="190">
        <f ca="1">SUMPRODUCT( L8:L13, Y8:Y13 ) / L14</f>
        <v>18.818181818181817</v>
      </c>
      <c r="E77" s="191"/>
      <c r="G77" s="370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9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xmlns:xlrd2="http://schemas.microsoft.com/office/spreadsheetml/2017/richdata2"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6C76E5-BF75-48CE-A6B5-1CCAC67E65E7}"/>
</file>

<file path=customXml/itemProps2.xml><?xml version="1.0" encoding="utf-8"?>
<ds:datastoreItem xmlns:ds="http://schemas.openxmlformats.org/officeDocument/2006/customXml" ds:itemID="{46AA48BB-5E80-4F5C-9897-91C250D23933}"/>
</file>

<file path=customXml/itemProps3.xml><?xml version="1.0" encoding="utf-8"?>
<ds:datastoreItem xmlns:ds="http://schemas.openxmlformats.org/officeDocument/2006/customXml" ds:itemID="{AF0C69A9-BAE6-498F-BDDE-3FE106CF61B1}"/>
</file>

<file path=customXml/itemProps4.xml><?xml version="1.0" encoding="utf-8"?>
<ds:datastoreItem xmlns:ds="http://schemas.openxmlformats.org/officeDocument/2006/customXml" ds:itemID="{AD208671-E534-4270-ADA2-92DC490220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mindSHIFT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Tax/QFU_Credit/2021_Q4_Credit_Ratings.xlsx</dc:title>
  <dc:subject/>
  <dc:creator>Mathew Martin</dc:creator>
  <cp:keywords/>
  <dc:description/>
  <cp:lastModifiedBy>Agnew, Mark</cp:lastModifiedBy>
  <cp:revision/>
  <dcterms:created xsi:type="dcterms:W3CDTF">2005-10-18T14:13:46Z</dcterms:created>
  <dcterms:modified xsi:type="dcterms:W3CDTF">2022-01-22T17:45:19Z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</Properties>
</file>